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D:\Users\Elizabeth\Desktop\"/>
    </mc:Choice>
  </mc:AlternateContent>
  <xr:revisionPtr revIDLastSave="0" documentId="8_{83755859-F402-44C6-9033-117D7FD2EAD5}" xr6:coauthVersionLast="47" xr6:coauthVersionMax="47" xr10:uidLastSave="{00000000-0000-0000-0000-000000000000}"/>
  <bookViews>
    <workbookView xWindow="-120" yWindow="-120" windowWidth="20730" windowHeight="11160" firstSheet="9" activeTab="9" xr2:uid="{00000000-000D-0000-FFFF-FFFF00000000}"/>
  </bookViews>
  <sheets>
    <sheet name="Gráfico2" sheetId="2" r:id="rId1"/>
    <sheet name="ENERO 2024" sheetId="1" r:id="rId2"/>
    <sheet name="FEBRERO 2024" sheetId="3" r:id="rId3"/>
    <sheet name="MARZO 2024" sheetId="6" r:id="rId4"/>
    <sheet name="ABRIL 2024" sheetId="7" r:id="rId5"/>
    <sheet name="MAYO 2024" sheetId="8" r:id="rId6"/>
    <sheet name="JUNIO 2024" sheetId="10" r:id="rId7"/>
    <sheet name="JULIO 2024" sheetId="11" r:id="rId8"/>
    <sheet name="AGOSTO 2024" sheetId="13" r:id="rId9"/>
    <sheet name="DICIEMBRE 2024" sheetId="21" r:id="rId10"/>
  </sheets>
  <externalReferences>
    <externalReference r:id="rId11"/>
  </externalReferences>
  <definedNames>
    <definedName name="_xlnm.Print_Area" localSheetId="4">'ABRIL 2024'!#REF!</definedName>
    <definedName name="_xlnm.Print_Area" localSheetId="8">'AGOSTO 2024'!$A$1:$Q$180</definedName>
    <definedName name="_xlnm.Print_Area" localSheetId="9">'DICIEMBRE 2024'!$A$5:$V$211</definedName>
    <definedName name="_xlnm.Print_Area" localSheetId="1">'ENERO 2024'!$A$5:$H$178</definedName>
    <definedName name="_xlnm.Print_Area" localSheetId="2">'FEBRERO 2024'!#REF!</definedName>
    <definedName name="_xlnm.Print_Area" localSheetId="7">'JULIO 2024'!#REF!</definedName>
    <definedName name="_xlnm.Print_Area" localSheetId="6">'JUNIO 2024'!#REF!</definedName>
    <definedName name="_xlnm.Print_Area" localSheetId="3">'MARZO 2024'!#REF!</definedName>
    <definedName name="_xlnm.Print_Area" localSheetId="5">'MAYO 2024'!$A$5:$O$179</definedName>
    <definedName name="_xlnm.Print_Titles" localSheetId="4">'ABRIL 2024'!$2:$10</definedName>
    <definedName name="_xlnm.Print_Titles" localSheetId="8">'AGOSTO 2024'!$4:$10</definedName>
    <definedName name="_xlnm.Print_Titles" localSheetId="9">'DICIEMBRE 2024'!$1:$10</definedName>
    <definedName name="_xlnm.Print_Titles" localSheetId="1">'ENERO 2024'!$5:$11</definedName>
    <definedName name="_xlnm.Print_Titles" localSheetId="2">'FEBRERO 2024'!$4:$11</definedName>
    <definedName name="_xlnm.Print_Titles" localSheetId="7">'JULIO 2024'!$1:$10</definedName>
    <definedName name="_xlnm.Print_Titles" localSheetId="6">'JUNIO 2024'!$2:$10</definedName>
    <definedName name="_xlnm.Print_Titles" localSheetId="3">'MARZO 2024'!$5:$11</definedName>
    <definedName name="_xlnm.Print_Titles" localSheetId="5">'MAYO 2024'!$1:$10</definedName>
  </definedNames>
  <calcPr calcId="181029"/>
</workbook>
</file>

<file path=xl/calcChain.xml><?xml version="1.0" encoding="utf-8"?>
<calcChain xmlns="http://schemas.openxmlformats.org/spreadsheetml/2006/main">
  <c r="U155" i="21" l="1"/>
  <c r="V155" i="21" s="1"/>
  <c r="U154" i="21"/>
  <c r="V154" i="21" s="1"/>
  <c r="U153" i="21"/>
  <c r="V153" i="21" s="1"/>
  <c r="U152" i="21"/>
  <c r="T152" i="21"/>
  <c r="S152" i="21"/>
  <c r="R152" i="21"/>
  <c r="Q152" i="21"/>
  <c r="P152" i="21"/>
  <c r="O152" i="21"/>
  <c r="N152" i="21"/>
  <c r="M152" i="21"/>
  <c r="L152" i="21"/>
  <c r="K152" i="21"/>
  <c r="J152" i="21"/>
  <c r="I152" i="21"/>
  <c r="H152" i="21"/>
  <c r="G152" i="21"/>
  <c r="U150" i="21"/>
  <c r="V150" i="21" s="1"/>
  <c r="I150" i="21"/>
  <c r="I148" i="21" s="1"/>
  <c r="H150" i="21"/>
  <c r="U149" i="21"/>
  <c r="U148" i="21" s="1"/>
  <c r="T148" i="21"/>
  <c r="T139" i="21" s="1"/>
  <c r="S148" i="21"/>
  <c r="R148" i="21"/>
  <c r="Q148" i="21"/>
  <c r="P148" i="21"/>
  <c r="P139" i="21" s="1"/>
  <c r="O148" i="21"/>
  <c r="N148" i="21"/>
  <c r="M148" i="21"/>
  <c r="L148" i="21"/>
  <c r="L139" i="21" s="1"/>
  <c r="K148" i="21"/>
  <c r="J148" i="21"/>
  <c r="H148" i="21"/>
  <c r="G148" i="21"/>
  <c r="G139" i="21" s="1"/>
  <c r="U147" i="21"/>
  <c r="I147" i="21"/>
  <c r="U146" i="21"/>
  <c r="V146" i="21" s="1"/>
  <c r="V145" i="21"/>
  <c r="U145" i="21"/>
  <c r="U144" i="21"/>
  <c r="V144" i="21" s="1"/>
  <c r="U143" i="21"/>
  <c r="V143" i="21" s="1"/>
  <c r="U142" i="21"/>
  <c r="V142" i="21" s="1"/>
  <c r="K141" i="21"/>
  <c r="J141" i="21"/>
  <c r="H141" i="21"/>
  <c r="U141" i="21" s="1"/>
  <c r="G141" i="21"/>
  <c r="T140" i="21"/>
  <c r="S140" i="21"/>
  <c r="R140" i="21"/>
  <c r="R139" i="21" s="1"/>
  <c r="Q140" i="21"/>
  <c r="Q139" i="21" s="1"/>
  <c r="P140" i="21"/>
  <c r="O140" i="21"/>
  <c r="N140" i="21"/>
  <c r="N139" i="21" s="1"/>
  <c r="M140" i="21"/>
  <c r="M139" i="21" s="1"/>
  <c r="L140" i="21"/>
  <c r="K140" i="21"/>
  <c r="J140" i="21"/>
  <c r="J139" i="21" s="1"/>
  <c r="I140" i="21"/>
  <c r="H140" i="21"/>
  <c r="G140" i="21"/>
  <c r="S139" i="21"/>
  <c r="O139" i="21"/>
  <c r="K139" i="21"/>
  <c r="H139" i="21"/>
  <c r="U137" i="21"/>
  <c r="V137" i="21" s="1"/>
  <c r="R136" i="21"/>
  <c r="Q136" i="21"/>
  <c r="O136" i="21"/>
  <c r="M136" i="21"/>
  <c r="M131" i="21" s="1"/>
  <c r="L136" i="21"/>
  <c r="J136" i="21"/>
  <c r="H136" i="21"/>
  <c r="G136" i="21"/>
  <c r="G131" i="21" s="1"/>
  <c r="T135" i="21"/>
  <c r="U135" i="21" s="1"/>
  <c r="I135" i="21"/>
  <c r="O134" i="21"/>
  <c r="J134" i="21"/>
  <c r="U134" i="21" s="1"/>
  <c r="I134" i="21"/>
  <c r="R133" i="21"/>
  <c r="Q133" i="21"/>
  <c r="P133" i="21"/>
  <c r="P131" i="21" s="1"/>
  <c r="M133" i="21"/>
  <c r="J133" i="21"/>
  <c r="I133" i="21"/>
  <c r="U132" i="21"/>
  <c r="V132" i="21" s="1"/>
  <c r="I132" i="21"/>
  <c r="T131" i="21"/>
  <c r="S131" i="21"/>
  <c r="R131" i="21"/>
  <c r="Q131" i="21"/>
  <c r="O131" i="21"/>
  <c r="N131" i="21"/>
  <c r="L131" i="21"/>
  <c r="K131" i="21"/>
  <c r="J131" i="21"/>
  <c r="I131" i="21"/>
  <c r="H131" i="21"/>
  <c r="R129" i="21"/>
  <c r="U129" i="21" s="1"/>
  <c r="U128" i="21" s="1"/>
  <c r="U127" i="21" s="1"/>
  <c r="G129" i="21"/>
  <c r="G128" i="21" s="1"/>
  <c r="G127" i="21" s="1"/>
  <c r="T128" i="21"/>
  <c r="S128" i="21"/>
  <c r="R128" i="21"/>
  <c r="R127" i="21" s="1"/>
  <c r="R113" i="21" s="1"/>
  <c r="Q128" i="21"/>
  <c r="Q127" i="21" s="1"/>
  <c r="P128" i="21"/>
  <c r="O128" i="21"/>
  <c r="N128" i="21"/>
  <c r="N127" i="21" s="1"/>
  <c r="N113" i="21" s="1"/>
  <c r="M128" i="21"/>
  <c r="M127" i="21" s="1"/>
  <c r="L128" i="21"/>
  <c r="K128" i="21"/>
  <c r="J128" i="21"/>
  <c r="J127" i="21" s="1"/>
  <c r="J113" i="21" s="1"/>
  <c r="H128" i="21"/>
  <c r="H127" i="21" s="1"/>
  <c r="T127" i="21"/>
  <c r="S127" i="21"/>
  <c r="P127" i="21"/>
  <c r="O127" i="21"/>
  <c r="L127" i="21"/>
  <c r="K127" i="21"/>
  <c r="U126" i="21"/>
  <c r="V126" i="21" s="1"/>
  <c r="U125" i="21"/>
  <c r="V125" i="21" s="1"/>
  <c r="I125" i="21"/>
  <c r="U124" i="21"/>
  <c r="V124" i="21" s="1"/>
  <c r="U123" i="21"/>
  <c r="V123" i="21" s="1"/>
  <c r="I123" i="21"/>
  <c r="U122" i="21"/>
  <c r="V122" i="21" s="1"/>
  <c r="I122" i="21"/>
  <c r="T121" i="21"/>
  <c r="S121" i="21"/>
  <c r="R121" i="21"/>
  <c r="Q121" i="21"/>
  <c r="P121" i="21"/>
  <c r="O121" i="21"/>
  <c r="N121" i="21"/>
  <c r="M121" i="21"/>
  <c r="L121" i="21"/>
  <c r="K121" i="21"/>
  <c r="J121" i="21"/>
  <c r="I121" i="21"/>
  <c r="H121" i="21"/>
  <c r="G121" i="21"/>
  <c r="U119" i="21"/>
  <c r="U118" i="21" s="1"/>
  <c r="T118" i="21"/>
  <c r="S118" i="21"/>
  <c r="R118" i="21"/>
  <c r="Q118" i="21"/>
  <c r="P118" i="21"/>
  <c r="O118" i="21"/>
  <c r="N118" i="21"/>
  <c r="M118" i="21"/>
  <c r="L118" i="21"/>
  <c r="K118" i="21"/>
  <c r="J118" i="21"/>
  <c r="I118" i="21"/>
  <c r="H118" i="21"/>
  <c r="U116" i="21"/>
  <c r="V116" i="21" s="1"/>
  <c r="U115" i="21"/>
  <c r="U114" i="21" s="1"/>
  <c r="G115" i="21"/>
  <c r="V115" i="21" s="1"/>
  <c r="V114" i="21" s="1"/>
  <c r="T114" i="21"/>
  <c r="T113" i="21" s="1"/>
  <c r="S114" i="21"/>
  <c r="R114" i="21"/>
  <c r="Q114" i="21"/>
  <c r="P114" i="21"/>
  <c r="P113" i="21" s="1"/>
  <c r="O114" i="21"/>
  <c r="N114" i="21"/>
  <c r="M114" i="21"/>
  <c r="L114" i="21"/>
  <c r="L113" i="21" s="1"/>
  <c r="K114" i="21"/>
  <c r="J114" i="21"/>
  <c r="I114" i="21"/>
  <c r="H114" i="21"/>
  <c r="S113" i="21"/>
  <c r="O113" i="21"/>
  <c r="K113" i="21"/>
  <c r="T111" i="21"/>
  <c r="T109" i="21" s="1"/>
  <c r="S111" i="21"/>
  <c r="S109" i="21" s="1"/>
  <c r="R111" i="21"/>
  <c r="Q111" i="21"/>
  <c r="P111" i="21"/>
  <c r="P109" i="21" s="1"/>
  <c r="O111" i="21"/>
  <c r="O109" i="21" s="1"/>
  <c r="N111" i="21"/>
  <c r="M111" i="21"/>
  <c r="L111" i="21"/>
  <c r="L109" i="21" s="1"/>
  <c r="K111" i="21"/>
  <c r="K109" i="21" s="1"/>
  <c r="J111" i="21"/>
  <c r="I111" i="21"/>
  <c r="H111" i="21"/>
  <c r="U111" i="21" s="1"/>
  <c r="I110" i="21"/>
  <c r="R109" i="21"/>
  <c r="Q109" i="21"/>
  <c r="N109" i="21"/>
  <c r="M109" i="21"/>
  <c r="J109" i="21"/>
  <c r="I109" i="21"/>
  <c r="G109" i="21"/>
  <c r="T107" i="21"/>
  <c r="T102" i="21" s="1"/>
  <c r="S107" i="21"/>
  <c r="R107" i="21"/>
  <c r="Q107" i="21"/>
  <c r="P107" i="21"/>
  <c r="P102" i="21" s="1"/>
  <c r="P93" i="21" s="1"/>
  <c r="O107" i="21"/>
  <c r="N107" i="21"/>
  <c r="M107" i="21"/>
  <c r="L107" i="21"/>
  <c r="L102" i="21" s="1"/>
  <c r="K107" i="21"/>
  <c r="J107" i="21"/>
  <c r="I107" i="21"/>
  <c r="H107" i="21"/>
  <c r="T106" i="21"/>
  <c r="S106" i="21"/>
  <c r="O106" i="21"/>
  <c r="U106" i="21" s="1"/>
  <c r="V106" i="21" s="1"/>
  <c r="I106" i="21"/>
  <c r="U105" i="21"/>
  <c r="V105" i="21" s="1"/>
  <c r="I105" i="21"/>
  <c r="V104" i="21"/>
  <c r="U104" i="21"/>
  <c r="I104" i="21"/>
  <c r="U103" i="21"/>
  <c r="G103" i="21"/>
  <c r="I103" i="21" s="1"/>
  <c r="I102" i="21" s="1"/>
  <c r="S102" i="21"/>
  <c r="R102" i="21"/>
  <c r="Q102" i="21"/>
  <c r="N102" i="21"/>
  <c r="M102" i="21"/>
  <c r="M93" i="21" s="1"/>
  <c r="K102" i="21"/>
  <c r="J102" i="21"/>
  <c r="H102" i="21"/>
  <c r="H93" i="21" s="1"/>
  <c r="R100" i="21"/>
  <c r="U100" i="21" s="1"/>
  <c r="T99" i="21"/>
  <c r="R99" i="21"/>
  <c r="R97" i="21" s="1"/>
  <c r="R93" i="21" s="1"/>
  <c r="Q99" i="21"/>
  <c r="O99" i="21"/>
  <c r="M99" i="21"/>
  <c r="L99" i="21"/>
  <c r="L97" i="21" s="1"/>
  <c r="I99" i="21"/>
  <c r="U98" i="21"/>
  <c r="G98" i="21"/>
  <c r="S97" i="21"/>
  <c r="S93" i="21" s="1"/>
  <c r="Q97" i="21"/>
  <c r="P97" i="21"/>
  <c r="O97" i="21"/>
  <c r="N97" i="21"/>
  <c r="M97" i="21"/>
  <c r="K97" i="21"/>
  <c r="K93" i="21" s="1"/>
  <c r="J97" i="21"/>
  <c r="H97" i="21"/>
  <c r="G97" i="21"/>
  <c r="U95" i="21"/>
  <c r="V95" i="21" s="1"/>
  <c r="T94" i="21"/>
  <c r="Q94" i="21"/>
  <c r="P94" i="21"/>
  <c r="O94" i="21"/>
  <c r="U94" i="21" s="1"/>
  <c r="I94" i="21"/>
  <c r="N93" i="21"/>
  <c r="J93" i="21"/>
  <c r="U92" i="21"/>
  <c r="S91" i="21"/>
  <c r="R91" i="21"/>
  <c r="Q91" i="21"/>
  <c r="Q85" i="21" s="1"/>
  <c r="P91" i="21"/>
  <c r="O91" i="21"/>
  <c r="I91" i="21"/>
  <c r="H91" i="21"/>
  <c r="U91" i="21" s="1"/>
  <c r="V91" i="21" s="1"/>
  <c r="U90" i="21"/>
  <c r="V90" i="21" s="1"/>
  <c r="I90" i="21"/>
  <c r="I89" i="21"/>
  <c r="H89" i="21"/>
  <c r="U89" i="21" s="1"/>
  <c r="V89" i="21" s="1"/>
  <c r="U88" i="21"/>
  <c r="V88" i="21" s="1"/>
  <c r="R88" i="21"/>
  <c r="I88" i="21"/>
  <c r="U87" i="21"/>
  <c r="V87" i="21" s="1"/>
  <c r="Q87" i="21"/>
  <c r="L87" i="21"/>
  <c r="I87" i="21"/>
  <c r="I86" i="21" s="1"/>
  <c r="T86" i="21"/>
  <c r="S86" i="21"/>
  <c r="R86" i="21"/>
  <c r="Q86" i="21"/>
  <c r="P86" i="21"/>
  <c r="O86" i="21"/>
  <c r="N86" i="21"/>
  <c r="M86" i="21"/>
  <c r="L86" i="21"/>
  <c r="K86" i="21"/>
  <c r="J86" i="21"/>
  <c r="H86" i="21"/>
  <c r="G86" i="21"/>
  <c r="G85" i="21" s="1"/>
  <c r="T85" i="21"/>
  <c r="S85" i="21"/>
  <c r="R85" i="21"/>
  <c r="P85" i="21"/>
  <c r="O85" i="21"/>
  <c r="N85" i="21"/>
  <c r="M85" i="21"/>
  <c r="L85" i="21"/>
  <c r="K85" i="21"/>
  <c r="J85" i="21"/>
  <c r="V84" i="21"/>
  <c r="U84" i="21"/>
  <c r="L83" i="21"/>
  <c r="K83" i="21"/>
  <c r="K81" i="21" s="1"/>
  <c r="I83" i="21"/>
  <c r="I81" i="21" s="1"/>
  <c r="L82" i="21"/>
  <c r="U82" i="21" s="1"/>
  <c r="I82" i="21"/>
  <c r="T81" i="21"/>
  <c r="S81" i="21"/>
  <c r="R81" i="21"/>
  <c r="Q81" i="21"/>
  <c r="P81" i="21"/>
  <c r="O81" i="21"/>
  <c r="N81" i="21"/>
  <c r="M81" i="21"/>
  <c r="L81" i="21"/>
  <c r="J81" i="21"/>
  <c r="H81" i="21"/>
  <c r="G81" i="21"/>
  <c r="U79" i="21"/>
  <c r="V79" i="21" s="1"/>
  <c r="I79" i="21"/>
  <c r="U78" i="21"/>
  <c r="V78" i="21" s="1"/>
  <c r="I78" i="21"/>
  <c r="V77" i="21"/>
  <c r="U77" i="21"/>
  <c r="I77" i="21"/>
  <c r="I76" i="21" s="1"/>
  <c r="I73" i="21" s="1"/>
  <c r="T76" i="21"/>
  <c r="S76" i="21"/>
  <c r="R76" i="21"/>
  <c r="Q76" i="21"/>
  <c r="P76" i="21"/>
  <c r="O76" i="21"/>
  <c r="N76" i="21"/>
  <c r="M76" i="21"/>
  <c r="L76" i="21"/>
  <c r="K76" i="21"/>
  <c r="J76" i="21"/>
  <c r="H76" i="21"/>
  <c r="G76" i="21"/>
  <c r="T74" i="21"/>
  <c r="T73" i="21" s="1"/>
  <c r="S74" i="21"/>
  <c r="R74" i="21"/>
  <c r="Q74" i="21"/>
  <c r="P74" i="21"/>
  <c r="P73" i="21" s="1"/>
  <c r="O74" i="21"/>
  <c r="O73" i="21" s="1"/>
  <c r="N74" i="21"/>
  <c r="M74" i="21"/>
  <c r="L74" i="21"/>
  <c r="L73" i="21" s="1"/>
  <c r="K74" i="21"/>
  <c r="J74" i="21"/>
  <c r="I74" i="21"/>
  <c r="H74" i="21"/>
  <c r="U74" i="21" s="1"/>
  <c r="S73" i="21"/>
  <c r="Q73" i="21"/>
  <c r="M73" i="21"/>
  <c r="K73" i="21"/>
  <c r="G73" i="21"/>
  <c r="V72" i="21"/>
  <c r="I72" i="21"/>
  <c r="U71" i="21"/>
  <c r="V71" i="21" s="1"/>
  <c r="I71" i="21"/>
  <c r="T70" i="21"/>
  <c r="T69" i="21" s="1"/>
  <c r="S70" i="21"/>
  <c r="S69" i="21" s="1"/>
  <c r="R70" i="21"/>
  <c r="Q70" i="21"/>
  <c r="Q69" i="21" s="1"/>
  <c r="P70" i="21"/>
  <c r="P69" i="21" s="1"/>
  <c r="O70" i="21"/>
  <c r="O69" i="21" s="1"/>
  <c r="N70" i="21"/>
  <c r="M70" i="21"/>
  <c r="M69" i="21" s="1"/>
  <c r="L70" i="21"/>
  <c r="L69" i="21" s="1"/>
  <c r="K70" i="21"/>
  <c r="K69" i="21" s="1"/>
  <c r="J70" i="21"/>
  <c r="I70" i="21"/>
  <c r="H70" i="21"/>
  <c r="U70" i="21" s="1"/>
  <c r="R69" i="21"/>
  <c r="N69" i="21"/>
  <c r="J69" i="21"/>
  <c r="G69" i="21"/>
  <c r="I69" i="21" s="1"/>
  <c r="V68" i="21"/>
  <c r="I68" i="21"/>
  <c r="U67" i="21"/>
  <c r="V67" i="21" s="1"/>
  <c r="I67" i="21"/>
  <c r="T66" i="21"/>
  <c r="T65" i="21" s="1"/>
  <c r="S66" i="21"/>
  <c r="P66" i="21"/>
  <c r="P65" i="21" s="1"/>
  <c r="O66" i="21"/>
  <c r="O65" i="21" s="1"/>
  <c r="L66" i="21"/>
  <c r="K66" i="21"/>
  <c r="I66" i="21"/>
  <c r="S65" i="21"/>
  <c r="R65" i="21"/>
  <c r="Q65" i="21"/>
  <c r="N65" i="21"/>
  <c r="M65" i="21"/>
  <c r="K65" i="21"/>
  <c r="J65" i="21"/>
  <c r="I65" i="21"/>
  <c r="H65" i="21"/>
  <c r="G65" i="21"/>
  <c r="S63" i="21"/>
  <c r="S61" i="21" s="1"/>
  <c r="R63" i="21"/>
  <c r="U63" i="21" s="1"/>
  <c r="V63" i="21" s="1"/>
  <c r="I63" i="21"/>
  <c r="R62" i="21"/>
  <c r="U62" i="21" s="1"/>
  <c r="I62" i="21"/>
  <c r="T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U59" i="21"/>
  <c r="V59" i="21" s="1"/>
  <c r="V58" i="21" s="1"/>
  <c r="I59" i="21"/>
  <c r="I58" i="21" s="1"/>
  <c r="I53" i="21" s="1"/>
  <c r="T58" i="21"/>
  <c r="S58" i="21"/>
  <c r="R58" i="21"/>
  <c r="Q58" i="21"/>
  <c r="P58" i="21"/>
  <c r="O58" i="21"/>
  <c r="N58" i="21"/>
  <c r="M58" i="21"/>
  <c r="L58" i="21"/>
  <c r="K58" i="21"/>
  <c r="J58" i="21"/>
  <c r="H58" i="21"/>
  <c r="G58" i="21"/>
  <c r="G53" i="21" s="1"/>
  <c r="U56" i="21"/>
  <c r="V56" i="21" s="1"/>
  <c r="I56" i="21"/>
  <c r="U55" i="21"/>
  <c r="V55" i="21" s="1"/>
  <c r="T54" i="21"/>
  <c r="T53" i="21" s="1"/>
  <c r="S54" i="21"/>
  <c r="R54" i="21"/>
  <c r="Q54" i="21"/>
  <c r="P54" i="21"/>
  <c r="O54" i="21"/>
  <c r="N54" i="21"/>
  <c r="M54" i="21"/>
  <c r="M53" i="21" s="1"/>
  <c r="L54" i="21"/>
  <c r="L53" i="21" s="1"/>
  <c r="K54" i="21"/>
  <c r="J54" i="21"/>
  <c r="I54" i="21"/>
  <c r="H54" i="21"/>
  <c r="U54" i="21" s="1"/>
  <c r="R53" i="21"/>
  <c r="Q53" i="21"/>
  <c r="P53" i="21"/>
  <c r="N53" i="21"/>
  <c r="J53" i="21"/>
  <c r="V50" i="21"/>
  <c r="U50" i="21"/>
  <c r="I50" i="21"/>
  <c r="U49" i="21"/>
  <c r="V49" i="21" s="1"/>
  <c r="I49" i="21"/>
  <c r="L48" i="21"/>
  <c r="U48" i="21" s="1"/>
  <c r="I48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H45" i="21"/>
  <c r="H44" i="21"/>
  <c r="I44" i="21" s="1"/>
  <c r="J44" i="21" s="1"/>
  <c r="N43" i="21"/>
  <c r="M43" i="21"/>
  <c r="L43" i="21"/>
  <c r="G43" i="21"/>
  <c r="U41" i="21"/>
  <c r="S40" i="21"/>
  <c r="P40" i="21"/>
  <c r="U40" i="21" s="1"/>
  <c r="V40" i="21" s="1"/>
  <c r="P39" i="21"/>
  <c r="U39" i="21" s="1"/>
  <c r="V39" i="21" s="1"/>
  <c r="U38" i="21"/>
  <c r="V38" i="21" s="1"/>
  <c r="U37" i="21"/>
  <c r="V37" i="21" s="1"/>
  <c r="T36" i="21"/>
  <c r="U36" i="21" s="1"/>
  <c r="V36" i="21" s="1"/>
  <c r="I36" i="21"/>
  <c r="U35" i="21"/>
  <c r="V35" i="21" s="1"/>
  <c r="Q35" i="21"/>
  <c r="U34" i="21"/>
  <c r="V34" i="21" s="1"/>
  <c r="U33" i="21"/>
  <c r="V33" i="21" s="1"/>
  <c r="V32" i="21" s="1"/>
  <c r="V31" i="21" s="1"/>
  <c r="T32" i="21"/>
  <c r="T31" i="21" s="1"/>
  <c r="S32" i="21"/>
  <c r="R32" i="21"/>
  <c r="Q32" i="21"/>
  <c r="Q31" i="21" s="1"/>
  <c r="O32" i="21"/>
  <c r="N32" i="21"/>
  <c r="M32" i="21"/>
  <c r="M31" i="21" s="1"/>
  <c r="L32" i="21"/>
  <c r="L31" i="21" s="1"/>
  <c r="K32" i="21"/>
  <c r="J32" i="21"/>
  <c r="I32" i="21"/>
  <c r="I31" i="21" s="1"/>
  <c r="H32" i="21"/>
  <c r="H31" i="21" s="1"/>
  <c r="G32" i="21"/>
  <c r="S31" i="21"/>
  <c r="R31" i="21"/>
  <c r="O31" i="21"/>
  <c r="N31" i="21"/>
  <c r="K31" i="21"/>
  <c r="J31" i="21"/>
  <c r="G31" i="21"/>
  <c r="U28" i="21"/>
  <c r="V28" i="21" s="1"/>
  <c r="U27" i="21"/>
  <c r="V27" i="21" s="1"/>
  <c r="U26" i="21"/>
  <c r="V26" i="21" s="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T23" i="21"/>
  <c r="U23" i="21" s="1"/>
  <c r="I23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U20" i="21"/>
  <c r="V20" i="21" s="1"/>
  <c r="I20" i="21"/>
  <c r="U19" i="21"/>
  <c r="T18" i="21"/>
  <c r="T17" i="21" s="1"/>
  <c r="S18" i="21"/>
  <c r="S17" i="21" s="1"/>
  <c r="R18" i="21"/>
  <c r="Q18" i="21"/>
  <c r="Q17" i="21" s="1"/>
  <c r="P18" i="21"/>
  <c r="P17" i="21" s="1"/>
  <c r="O18" i="21"/>
  <c r="O17" i="21" s="1"/>
  <c r="N18" i="21"/>
  <c r="M18" i="21"/>
  <c r="L18" i="21"/>
  <c r="L17" i="21" s="1"/>
  <c r="K18" i="21"/>
  <c r="K17" i="21" s="1"/>
  <c r="J18" i="21"/>
  <c r="I18" i="21"/>
  <c r="I17" i="21" s="1"/>
  <c r="H18" i="21"/>
  <c r="H17" i="21" s="1"/>
  <c r="R17" i="21"/>
  <c r="N17" i="21"/>
  <c r="J17" i="21"/>
  <c r="G17" i="21"/>
  <c r="T15" i="21"/>
  <c r="T14" i="21" s="1"/>
  <c r="S15" i="21"/>
  <c r="R15" i="21"/>
  <c r="R14" i="21" s="1"/>
  <c r="R13" i="21" s="1"/>
  <c r="R12" i="21" s="1"/>
  <c r="Q15" i="21"/>
  <c r="Q14" i="21" s="1"/>
  <c r="P15" i="21"/>
  <c r="P14" i="21" s="1"/>
  <c r="O15" i="21"/>
  <c r="N15" i="21"/>
  <c r="N14" i="21" s="1"/>
  <c r="M15" i="21"/>
  <c r="M14" i="21" s="1"/>
  <c r="L15" i="21"/>
  <c r="L14" i="21" s="1"/>
  <c r="K15" i="21"/>
  <c r="J15" i="21"/>
  <c r="J14" i="21" s="1"/>
  <c r="J13" i="21" s="1"/>
  <c r="J12" i="21" s="1"/>
  <c r="I15" i="21"/>
  <c r="I14" i="21" s="1"/>
  <c r="H15" i="21"/>
  <c r="S14" i="21"/>
  <c r="O14" i="21"/>
  <c r="K14" i="21"/>
  <c r="G14" i="21"/>
  <c r="G13" i="21" s="1"/>
  <c r="G12" i="21" s="1"/>
  <c r="V23" i="21" l="1"/>
  <c r="V22" i="21" s="1"/>
  <c r="U22" i="21"/>
  <c r="H113" i="21"/>
  <c r="L93" i="21"/>
  <c r="M113" i="21"/>
  <c r="Q113" i="21"/>
  <c r="H43" i="21"/>
  <c r="N13" i="21"/>
  <c r="N12" i="21" s="1"/>
  <c r="H53" i="21"/>
  <c r="U58" i="21"/>
  <c r="J73" i="21"/>
  <c r="J52" i="21" s="1"/>
  <c r="J157" i="21" s="1"/>
  <c r="N73" i="21"/>
  <c r="N52" i="21" s="1"/>
  <c r="N157" i="21" s="1"/>
  <c r="R73" i="21"/>
  <c r="R52" i="21" s="1"/>
  <c r="V76" i="21"/>
  <c r="U83" i="21"/>
  <c r="V83" i="21" s="1"/>
  <c r="H85" i="21"/>
  <c r="Q93" i="21"/>
  <c r="O102" i="21"/>
  <c r="H109" i="21"/>
  <c r="G114" i="21"/>
  <c r="G113" i="21" s="1"/>
  <c r="U133" i="21"/>
  <c r="V149" i="21"/>
  <c r="V148" i="21" s="1"/>
  <c r="V152" i="21"/>
  <c r="U15" i="21"/>
  <c r="U14" i="21" s="1"/>
  <c r="L13" i="21"/>
  <c r="L12" i="21" s="1"/>
  <c r="P13" i="21"/>
  <c r="T13" i="21"/>
  <c r="T12" i="21" s="1"/>
  <c r="K13" i="21"/>
  <c r="K12" i="21" s="1"/>
  <c r="O13" i="21"/>
  <c r="O12" i="21" s="1"/>
  <c r="S13" i="21"/>
  <c r="S12" i="21" s="1"/>
  <c r="P32" i="21"/>
  <c r="P31" i="21" s="1"/>
  <c r="K53" i="21"/>
  <c r="K52" i="21" s="1"/>
  <c r="K157" i="21" s="1"/>
  <c r="O53" i="21"/>
  <c r="S53" i="21"/>
  <c r="S52" i="21" s="1"/>
  <c r="U66" i="21"/>
  <c r="U76" i="21"/>
  <c r="U73" i="21" s="1"/>
  <c r="I85" i="21"/>
  <c r="O93" i="21"/>
  <c r="G102" i="21"/>
  <c r="G93" i="21" s="1"/>
  <c r="G52" i="21" s="1"/>
  <c r="V129" i="21"/>
  <c r="V128" i="21" s="1"/>
  <c r="V127" i="21" s="1"/>
  <c r="U107" i="21"/>
  <c r="I13" i="21"/>
  <c r="I12" i="21" s="1"/>
  <c r="U18" i="21"/>
  <c r="V18" i="21" s="1"/>
  <c r="V17" i="21" s="1"/>
  <c r="Q13" i="21"/>
  <c r="Q12" i="21" s="1"/>
  <c r="T22" i="21"/>
  <c r="V25" i="21"/>
  <c r="P52" i="21"/>
  <c r="H69" i="21"/>
  <c r="M52" i="21"/>
  <c r="Q52" i="21"/>
  <c r="V98" i="21"/>
  <c r="U99" i="21"/>
  <c r="V99" i="21" s="1"/>
  <c r="V119" i="21"/>
  <c r="V118" i="21" s="1"/>
  <c r="V121" i="21"/>
  <c r="U136" i="21"/>
  <c r="U140" i="21"/>
  <c r="U139" i="21" s="1"/>
  <c r="K44" i="21"/>
  <c r="K43" i="21" s="1"/>
  <c r="U61" i="21"/>
  <c r="V62" i="21"/>
  <c r="V61" i="21" s="1"/>
  <c r="V94" i="21"/>
  <c r="U102" i="21"/>
  <c r="V107" i="21"/>
  <c r="V54" i="21"/>
  <c r="U53" i="21"/>
  <c r="V70" i="21"/>
  <c r="V69" i="21" s="1"/>
  <c r="U69" i="21"/>
  <c r="V74" i="21"/>
  <c r="V86" i="21"/>
  <c r="V85" i="21"/>
  <c r="V134" i="21"/>
  <c r="U32" i="21"/>
  <c r="U31" i="21" s="1"/>
  <c r="U44" i="21"/>
  <c r="S157" i="21"/>
  <c r="V136" i="21"/>
  <c r="V141" i="21"/>
  <c r="V140" i="21"/>
  <c r="V66" i="21"/>
  <c r="V65" i="21" s="1"/>
  <c r="U65" i="21"/>
  <c r="V100" i="21"/>
  <c r="U109" i="21"/>
  <c r="V111" i="21"/>
  <c r="V109" i="21" s="1"/>
  <c r="V135" i="21"/>
  <c r="R157" i="21"/>
  <c r="V15" i="21"/>
  <c r="V14" i="21" s="1"/>
  <c r="U47" i="21"/>
  <c r="V48" i="21"/>
  <c r="V47" i="21" s="1"/>
  <c r="V82" i="21"/>
  <c r="V81" i="21" s="1"/>
  <c r="V133" i="21"/>
  <c r="U131" i="21"/>
  <c r="V73" i="21"/>
  <c r="M157" i="21"/>
  <c r="Q157" i="21"/>
  <c r="H14" i="21"/>
  <c r="H13" i="21" s="1"/>
  <c r="H12" i="21" s="1"/>
  <c r="M17" i="21"/>
  <c r="M13" i="21" s="1"/>
  <c r="M12" i="21" s="1"/>
  <c r="I136" i="21"/>
  <c r="L65" i="21"/>
  <c r="L52" i="21" s="1"/>
  <c r="L157" i="21" s="1"/>
  <c r="H73" i="21"/>
  <c r="U85" i="21"/>
  <c r="U86" i="21"/>
  <c r="T97" i="21"/>
  <c r="T93" i="21" s="1"/>
  <c r="T52" i="21" s="1"/>
  <c r="T157" i="21" s="1"/>
  <c r="I98" i="21"/>
  <c r="I97" i="21" s="1"/>
  <c r="I93" i="21" s="1"/>
  <c r="I52" i="21" s="1"/>
  <c r="V103" i="21"/>
  <c r="U121" i="21"/>
  <c r="I129" i="21"/>
  <c r="I128" i="21" s="1"/>
  <c r="I127" i="21" s="1"/>
  <c r="I45" i="21"/>
  <c r="J45" i="21" s="1"/>
  <c r="K45" i="21" s="1"/>
  <c r="I141" i="21"/>
  <c r="I139" i="21" s="1"/>
  <c r="U81" i="21"/>
  <c r="P157" i="21" l="1"/>
  <c r="V13" i="21"/>
  <c r="G157" i="21"/>
  <c r="V131" i="21"/>
  <c r="U97" i="21"/>
  <c r="U93" i="21" s="1"/>
  <c r="U17" i="21"/>
  <c r="U13" i="21" s="1"/>
  <c r="U12" i="21" s="1"/>
  <c r="P12" i="21"/>
  <c r="U113" i="21"/>
  <c r="H52" i="21"/>
  <c r="H157" i="21" s="1"/>
  <c r="U45" i="21"/>
  <c r="V45" i="21" s="1"/>
  <c r="V97" i="21"/>
  <c r="V93" i="21" s="1"/>
  <c r="O52" i="21"/>
  <c r="O157" i="21" s="1"/>
  <c r="V44" i="21"/>
  <c r="V43" i="21" s="1"/>
  <c r="I113" i="21"/>
  <c r="I157" i="21" s="1"/>
  <c r="V139" i="21"/>
  <c r="V113" i="21" s="1"/>
  <c r="J43" i="21"/>
  <c r="V102" i="21"/>
  <c r="U52" i="21"/>
  <c r="V53" i="21"/>
  <c r="V12" i="21"/>
  <c r="I43" i="21"/>
  <c r="V52" i="21" l="1"/>
  <c r="V157" i="21" s="1"/>
  <c r="U157" i="21"/>
  <c r="U43" i="21"/>
  <c r="A5" i="13" l="1"/>
  <c r="K166" i="13" l="1"/>
  <c r="J163" i="13" l="1"/>
  <c r="K163" i="13" s="1"/>
  <c r="Q154" i="13" l="1"/>
  <c r="Q153" i="13"/>
  <c r="Q152" i="13"/>
  <c r="Q151" i="13" s="1"/>
  <c r="R151" i="13"/>
  <c r="P151" i="13"/>
  <c r="O151" i="13"/>
  <c r="N151" i="13"/>
  <c r="M151" i="13"/>
  <c r="L151" i="13"/>
  <c r="K151" i="13"/>
  <c r="J151" i="13"/>
  <c r="I151" i="13"/>
  <c r="H151" i="13"/>
  <c r="G151" i="13"/>
  <c r="I149" i="13"/>
  <c r="H149" i="13"/>
  <c r="H147" i="13" s="1"/>
  <c r="Q148" i="13"/>
  <c r="R147" i="13"/>
  <c r="P147" i="13"/>
  <c r="O147" i="13"/>
  <c r="N147" i="13"/>
  <c r="M147" i="13"/>
  <c r="L147" i="13"/>
  <c r="K147" i="13"/>
  <c r="J147" i="13"/>
  <c r="G147" i="13"/>
  <c r="Q146" i="13"/>
  <c r="I146" i="13"/>
  <c r="Q149" i="13" l="1"/>
  <c r="Q147" i="13" s="1"/>
  <c r="I147" i="13"/>
  <c r="Q145" i="13"/>
  <c r="R145" i="13" s="1"/>
  <c r="Q144" i="13"/>
  <c r="R144" i="13" s="1"/>
  <c r="Q143" i="13"/>
  <c r="R143" i="13" s="1"/>
  <c r="Q142" i="13"/>
  <c r="R142" i="13" s="1"/>
  <c r="Q141" i="13"/>
  <c r="R141" i="13" s="1"/>
  <c r="O139" i="13"/>
  <c r="O138" i="13" s="1"/>
  <c r="N139" i="13"/>
  <c r="N138" i="13" s="1"/>
  <c r="M139" i="13"/>
  <c r="M138" i="13" s="1"/>
  <c r="L139" i="13"/>
  <c r="G139" i="13"/>
  <c r="G138" i="13" s="1"/>
  <c r="P138" i="13"/>
  <c r="Q136" i="13"/>
  <c r="O135" i="13"/>
  <c r="M135" i="13"/>
  <c r="L135" i="13"/>
  <c r="J135" i="13"/>
  <c r="H135" i="13"/>
  <c r="G135" i="13"/>
  <c r="Q134" i="13"/>
  <c r="R134" i="13" s="1"/>
  <c r="I134" i="13"/>
  <c r="O133" i="13"/>
  <c r="O130" i="13" s="1"/>
  <c r="J133" i="13"/>
  <c r="Q133" i="13" s="1"/>
  <c r="R133" i="13" s="1"/>
  <c r="I133" i="13"/>
  <c r="P132" i="13"/>
  <c r="P130" i="13" s="1"/>
  <c r="M132" i="13"/>
  <c r="J132" i="13"/>
  <c r="I132" i="13"/>
  <c r="Q131" i="13"/>
  <c r="R131" i="13" s="1"/>
  <c r="I131" i="13"/>
  <c r="N130" i="13"/>
  <c r="K130" i="13"/>
  <c r="Q128" i="13"/>
  <c r="G128" i="13"/>
  <c r="Q127" i="13"/>
  <c r="P127" i="13"/>
  <c r="O127" i="13"/>
  <c r="N127" i="13"/>
  <c r="N126" i="13" s="1"/>
  <c r="M127" i="13"/>
  <c r="L127" i="13"/>
  <c r="K127" i="13"/>
  <c r="J127" i="13"/>
  <c r="H127" i="13"/>
  <c r="Q125" i="13"/>
  <c r="Q124" i="13"/>
  <c r="R124" i="13" s="1"/>
  <c r="I124" i="13"/>
  <c r="Q123" i="13"/>
  <c r="R123" i="13" s="1"/>
  <c r="Q122" i="13"/>
  <c r="R122" i="13" s="1"/>
  <c r="I122" i="13"/>
  <c r="Q121" i="13"/>
  <c r="R121" i="13" s="1"/>
  <c r="I121" i="13"/>
  <c r="P120" i="13"/>
  <c r="O120" i="13"/>
  <c r="N120" i="13"/>
  <c r="M120" i="13"/>
  <c r="L120" i="13"/>
  <c r="K120" i="13"/>
  <c r="J120" i="13"/>
  <c r="I120" i="13"/>
  <c r="H120" i="13"/>
  <c r="G120" i="13"/>
  <c r="Q118" i="13"/>
  <c r="R117" i="13"/>
  <c r="Q117" i="13" s="1"/>
  <c r="P117" i="13"/>
  <c r="O117" i="13"/>
  <c r="N117" i="13"/>
  <c r="M117" i="13"/>
  <c r="L117" i="13"/>
  <c r="K117" i="13"/>
  <c r="J117" i="13"/>
  <c r="I117" i="13"/>
  <c r="H117" i="13"/>
  <c r="Q115" i="13"/>
  <c r="Q114" i="13"/>
  <c r="G114" i="13"/>
  <c r="R113" i="13"/>
  <c r="P113" i="13"/>
  <c r="O113" i="13"/>
  <c r="N113" i="13"/>
  <c r="M113" i="13"/>
  <c r="L113" i="13"/>
  <c r="K113" i="13"/>
  <c r="J113" i="13"/>
  <c r="I113" i="13"/>
  <c r="H113" i="13"/>
  <c r="R120" i="13" l="1"/>
  <c r="M126" i="13"/>
  <c r="L126" i="13" s="1"/>
  <c r="K126" i="13" s="1"/>
  <c r="J126" i="13" s="1"/>
  <c r="Q132" i="13"/>
  <c r="R132" i="13" s="1"/>
  <c r="L138" i="13"/>
  <c r="Q113" i="13"/>
  <c r="J130" i="13"/>
  <c r="I130" i="13" s="1"/>
  <c r="H130" i="13" s="1"/>
  <c r="R128" i="13"/>
  <c r="R127" i="13" s="1"/>
  <c r="Q120" i="13"/>
  <c r="I127" i="13"/>
  <c r="I126" i="13" s="1"/>
  <c r="G113" i="13"/>
  <c r="M130" i="13"/>
  <c r="L130" i="13" s="1"/>
  <c r="L112" i="13" s="1"/>
  <c r="I135" i="13"/>
  <c r="Q135" i="13"/>
  <c r="G127" i="13"/>
  <c r="G130" i="13"/>
  <c r="I128" i="13"/>
  <c r="Q130" i="13" l="1"/>
  <c r="H126" i="13"/>
  <c r="G126" i="13" s="1"/>
  <c r="R135" i="13"/>
  <c r="R130" i="13" s="1"/>
  <c r="R126" i="13"/>
  <c r="P110" i="13"/>
  <c r="O110" i="13"/>
  <c r="N110" i="13"/>
  <c r="M110" i="13"/>
  <c r="L110" i="13"/>
  <c r="K110" i="13"/>
  <c r="J110" i="13"/>
  <c r="I110" i="13"/>
  <c r="I108" i="13" s="1"/>
  <c r="H110" i="13"/>
  <c r="I109" i="13"/>
  <c r="P108" i="13"/>
  <c r="O108" i="13" s="1"/>
  <c r="G108" i="13"/>
  <c r="P106" i="13"/>
  <c r="O106" i="13"/>
  <c r="N106" i="13"/>
  <c r="M106" i="13"/>
  <c r="L106" i="13"/>
  <c r="K106" i="13"/>
  <c r="J106" i="13"/>
  <c r="I106" i="13"/>
  <c r="H106" i="13"/>
  <c r="O105" i="13"/>
  <c r="Q105" i="13" s="1"/>
  <c r="R105" i="13" s="1"/>
  <c r="I105" i="13"/>
  <c r="Q104" i="13"/>
  <c r="R104" i="13" s="1"/>
  <c r="I104" i="13"/>
  <c r="Q103" i="13"/>
  <c r="R103" i="13" s="1"/>
  <c r="I103" i="13"/>
  <c r="Q102" i="13"/>
  <c r="G102" i="13"/>
  <c r="P101" i="13"/>
  <c r="H101" i="13"/>
  <c r="O99" i="13"/>
  <c r="O97" i="13" s="1"/>
  <c r="M99" i="13"/>
  <c r="L99" i="13"/>
  <c r="I99" i="13"/>
  <c r="Q98" i="13"/>
  <c r="G98" i="13"/>
  <c r="P97" i="13"/>
  <c r="N97" i="13"/>
  <c r="K97" i="13"/>
  <c r="J97" i="13"/>
  <c r="H97" i="13"/>
  <c r="Q95" i="13"/>
  <c r="R95" i="13" s="1"/>
  <c r="P94" i="13"/>
  <c r="P93" i="13" s="1"/>
  <c r="O94" i="13"/>
  <c r="Q94" i="13" s="1"/>
  <c r="R94" i="13" s="1"/>
  <c r="I94" i="13"/>
  <c r="P91" i="13"/>
  <c r="O91" i="13"/>
  <c r="I91" i="13"/>
  <c r="H91" i="13"/>
  <c r="Q91" i="13" s="1"/>
  <c r="R91" i="13" s="1"/>
  <c r="Q106" i="13" l="1"/>
  <c r="R106" i="13" s="1"/>
  <c r="Q99" i="13"/>
  <c r="Q97" i="13" s="1"/>
  <c r="Q93" i="13" s="1"/>
  <c r="R98" i="13"/>
  <c r="R99" i="13"/>
  <c r="R97" i="13" s="1"/>
  <c r="R102" i="13"/>
  <c r="R101" i="13" s="1"/>
  <c r="M97" i="13"/>
  <c r="Q101" i="13"/>
  <c r="Q126" i="13"/>
  <c r="G101" i="13"/>
  <c r="N108" i="13"/>
  <c r="M108" i="13" s="1"/>
  <c r="L108" i="13" s="1"/>
  <c r="K108" i="13" s="1"/>
  <c r="J108" i="13" s="1"/>
  <c r="G97" i="13"/>
  <c r="O101" i="13"/>
  <c r="N101" i="13" s="1"/>
  <c r="M101" i="13" s="1"/>
  <c r="L101" i="13" s="1"/>
  <c r="K101" i="13" s="1"/>
  <c r="Q110" i="13"/>
  <c r="N93" i="13"/>
  <c r="I98" i="13"/>
  <c r="I97" i="13" s="1"/>
  <c r="I102" i="13"/>
  <c r="I101" i="13" s="1"/>
  <c r="H108" i="13"/>
  <c r="Q90" i="13"/>
  <c r="R90" i="13" s="1"/>
  <c r="I90" i="13"/>
  <c r="R89" i="13"/>
  <c r="Q89" i="13"/>
  <c r="I89" i="13"/>
  <c r="H89" i="13"/>
  <c r="Q88" i="13"/>
  <c r="R88" i="13" s="1"/>
  <c r="I88" i="13"/>
  <c r="L87" i="13"/>
  <c r="Q87" i="13" s="1"/>
  <c r="I87" i="13"/>
  <c r="P86" i="13"/>
  <c r="O86" i="13"/>
  <c r="N86" i="13"/>
  <c r="M86" i="13"/>
  <c r="K86" i="13"/>
  <c r="J86" i="13"/>
  <c r="I86" i="13" s="1"/>
  <c r="H86" i="13"/>
  <c r="G86" i="13"/>
  <c r="P85" i="13"/>
  <c r="O85" i="13" s="1"/>
  <c r="N85" i="13"/>
  <c r="M85" i="13"/>
  <c r="K85" i="13"/>
  <c r="J85" i="13"/>
  <c r="H85" i="13"/>
  <c r="G85" i="13" s="1"/>
  <c r="Q84" i="13"/>
  <c r="R84" i="13" s="1"/>
  <c r="L83" i="13"/>
  <c r="K83" i="13"/>
  <c r="I83" i="13"/>
  <c r="I81" i="13" s="1"/>
  <c r="L82" i="13"/>
  <c r="Q82" i="13" s="1"/>
  <c r="R82" i="13" s="1"/>
  <c r="I82" i="13"/>
  <c r="P81" i="13"/>
  <c r="O81" i="13"/>
  <c r="N81" i="13"/>
  <c r="M81" i="13"/>
  <c r="L81" i="13"/>
  <c r="K81" i="13"/>
  <c r="J81" i="13"/>
  <c r="H81" i="13"/>
  <c r="G81" i="13"/>
  <c r="Q79" i="13"/>
  <c r="R79" i="13" s="1"/>
  <c r="I79" i="13"/>
  <c r="Q78" i="13"/>
  <c r="I78" i="13"/>
  <c r="I76" i="13" s="1"/>
  <c r="Q77" i="13"/>
  <c r="R77" i="13" s="1"/>
  <c r="I77" i="13"/>
  <c r="P76" i="13"/>
  <c r="O76" i="13"/>
  <c r="N76" i="13"/>
  <c r="M76" i="13"/>
  <c r="L76" i="13"/>
  <c r="K76" i="13"/>
  <c r="J76" i="13"/>
  <c r="J73" i="13" s="1"/>
  <c r="H76" i="13"/>
  <c r="G76" i="13"/>
  <c r="P74" i="13"/>
  <c r="O74" i="13"/>
  <c r="N74" i="13"/>
  <c r="M74" i="13"/>
  <c r="M73" i="13" s="1"/>
  <c r="L74" i="13"/>
  <c r="K74" i="13"/>
  <c r="J74" i="13"/>
  <c r="I74" i="13"/>
  <c r="H74" i="13"/>
  <c r="N73" i="13"/>
  <c r="G73" i="13"/>
  <c r="R72" i="13"/>
  <c r="I72" i="13"/>
  <c r="Q71" i="13"/>
  <c r="I71" i="13"/>
  <c r="P70" i="13"/>
  <c r="P69" i="13" s="1"/>
  <c r="O69" i="13" s="1"/>
  <c r="N69" i="13" s="1"/>
  <c r="M69" i="13" s="1"/>
  <c r="L69" i="13" s="1"/>
  <c r="K69" i="13" s="1"/>
  <c r="J69" i="13" s="1"/>
  <c r="I69" i="13" s="1"/>
  <c r="O70" i="13"/>
  <c r="N70" i="13"/>
  <c r="M70" i="13"/>
  <c r="L70" i="13"/>
  <c r="K70" i="13"/>
  <c r="J70" i="13"/>
  <c r="I70" i="13"/>
  <c r="H70" i="13"/>
  <c r="G69" i="13"/>
  <c r="R68" i="13"/>
  <c r="I68" i="13"/>
  <c r="Q67" i="13"/>
  <c r="R67" i="13" s="1"/>
  <c r="I67" i="13"/>
  <c r="P66" i="13"/>
  <c r="P65" i="13" s="1"/>
  <c r="O65" i="13" s="1"/>
  <c r="O66" i="13"/>
  <c r="L66" i="13"/>
  <c r="K66" i="13"/>
  <c r="I66" i="13"/>
  <c r="N65" i="13"/>
  <c r="M65" i="13"/>
  <c r="K65" i="13"/>
  <c r="J65" i="13"/>
  <c r="H65" i="13"/>
  <c r="G65" i="13"/>
  <c r="Q63" i="13"/>
  <c r="R63" i="13" s="1"/>
  <c r="I63" i="13"/>
  <c r="Q62" i="13"/>
  <c r="R62" i="13" s="1"/>
  <c r="R61" i="13" s="1"/>
  <c r="I62" i="13"/>
  <c r="P61" i="13"/>
  <c r="O61" i="13"/>
  <c r="N61" i="13"/>
  <c r="M61" i="13"/>
  <c r="L61" i="13"/>
  <c r="K61" i="13"/>
  <c r="J61" i="13"/>
  <c r="H61" i="13"/>
  <c r="G61" i="13"/>
  <c r="Q59" i="13"/>
  <c r="R59" i="13" s="1"/>
  <c r="I59" i="13"/>
  <c r="P58" i="13"/>
  <c r="O58" i="13"/>
  <c r="N58" i="13"/>
  <c r="M58" i="13"/>
  <c r="L58" i="13"/>
  <c r="K58" i="13"/>
  <c r="J58" i="13"/>
  <c r="I58" i="13" s="1"/>
  <c r="H58" i="13"/>
  <c r="G58" i="13"/>
  <c r="Q56" i="13"/>
  <c r="R56" i="13" s="1"/>
  <c r="I56" i="13"/>
  <c r="Q55" i="13"/>
  <c r="R55" i="13" s="1"/>
  <c r="P54" i="13"/>
  <c r="O54" i="13"/>
  <c r="O53" i="13" s="1"/>
  <c r="N54" i="13"/>
  <c r="M54" i="13"/>
  <c r="L54" i="13"/>
  <c r="K54" i="13"/>
  <c r="K53" i="13" s="1"/>
  <c r="J54" i="13"/>
  <c r="I54" i="13"/>
  <c r="H54" i="13"/>
  <c r="I53" i="13"/>
  <c r="G53" i="13"/>
  <c r="Q50" i="13"/>
  <c r="R50" i="13" s="1"/>
  <c r="I50" i="13"/>
  <c r="Q49" i="13"/>
  <c r="R49" i="13" s="1"/>
  <c r="I49" i="13"/>
  <c r="L48" i="13"/>
  <c r="Q48" i="13" s="1"/>
  <c r="I48" i="13"/>
  <c r="P47" i="13"/>
  <c r="O47" i="13"/>
  <c r="N47" i="13"/>
  <c r="M47" i="13"/>
  <c r="K47" i="13"/>
  <c r="J47" i="13"/>
  <c r="H47" i="13"/>
  <c r="G47" i="13"/>
  <c r="H45" i="13"/>
  <c r="H44" i="13"/>
  <c r="I44" i="13" s="1"/>
  <c r="J44" i="13" s="1"/>
  <c r="K44" i="13" s="1"/>
  <c r="N43" i="13"/>
  <c r="M43" i="13"/>
  <c r="L43" i="13"/>
  <c r="G43" i="13"/>
  <c r="Q41" i="13"/>
  <c r="Q40" i="13"/>
  <c r="R40" i="13" s="1"/>
  <c r="P40" i="13"/>
  <c r="P39" i="13"/>
  <c r="Q39" i="13" s="1"/>
  <c r="R39" i="13" s="1"/>
  <c r="Q38" i="13"/>
  <c r="R38" i="13" s="1"/>
  <c r="Q37" i="13"/>
  <c r="R37" i="13" s="1"/>
  <c r="Q36" i="13"/>
  <c r="R36" i="13" s="1"/>
  <c r="I36" i="13"/>
  <c r="I32" i="13" s="1"/>
  <c r="I31" i="13" s="1"/>
  <c r="Q35" i="13"/>
  <c r="R35" i="13" s="1"/>
  <c r="Q34" i="13"/>
  <c r="R34" i="13" s="1"/>
  <c r="Q33" i="13"/>
  <c r="O32" i="13"/>
  <c r="O31" i="13" s="1"/>
  <c r="N32" i="13"/>
  <c r="N31" i="13" s="1"/>
  <c r="M32" i="13"/>
  <c r="M31" i="13" s="1"/>
  <c r="L32" i="13"/>
  <c r="K32" i="13"/>
  <c r="K31" i="13" s="1"/>
  <c r="J32" i="13"/>
  <c r="J31" i="13" s="1"/>
  <c r="H32" i="13"/>
  <c r="G32" i="13"/>
  <c r="L31" i="13"/>
  <c r="H31" i="13"/>
  <c r="Q28" i="13"/>
  <c r="Q27" i="13"/>
  <c r="Q26" i="13"/>
  <c r="Q25" i="13" s="1"/>
  <c r="R25" i="13"/>
  <c r="P25" i="13"/>
  <c r="O25" i="13"/>
  <c r="N25" i="13"/>
  <c r="M25" i="13"/>
  <c r="L25" i="13"/>
  <c r="K25" i="13"/>
  <c r="J25" i="13"/>
  <c r="I25" i="13"/>
  <c r="H25" i="13"/>
  <c r="G25" i="13"/>
  <c r="Q23" i="13"/>
  <c r="R23" i="13" s="1"/>
  <c r="I23" i="13"/>
  <c r="P22" i="13"/>
  <c r="O22" i="13"/>
  <c r="N22" i="13"/>
  <c r="M22" i="13"/>
  <c r="L22" i="13"/>
  <c r="K22" i="13"/>
  <c r="J22" i="13"/>
  <c r="I22" i="13" s="1"/>
  <c r="H22" i="13"/>
  <c r="G22" i="13"/>
  <c r="Q20" i="13"/>
  <c r="R20" i="13" s="1"/>
  <c r="I20" i="13"/>
  <c r="Q19" i="13"/>
  <c r="P18" i="13"/>
  <c r="O18" i="13"/>
  <c r="N18" i="13"/>
  <c r="M18" i="13"/>
  <c r="L18" i="13"/>
  <c r="K18" i="13"/>
  <c r="J18" i="13"/>
  <c r="I18" i="13"/>
  <c r="H18" i="13"/>
  <c r="G17" i="13"/>
  <c r="P15" i="13"/>
  <c r="O15" i="13"/>
  <c r="N15" i="13"/>
  <c r="N14" i="13" s="1"/>
  <c r="M15" i="13"/>
  <c r="L15" i="13"/>
  <c r="K15" i="13"/>
  <c r="J15" i="13"/>
  <c r="I15" i="13"/>
  <c r="H15" i="13"/>
  <c r="H14" i="13" s="1"/>
  <c r="G14" i="13"/>
  <c r="G13" i="13"/>
  <c r="R93" i="13" l="1"/>
  <c r="Q15" i="13"/>
  <c r="Q54" i="13"/>
  <c r="Q74" i="13"/>
  <c r="R74" i="13" s="1"/>
  <c r="K73" i="13"/>
  <c r="O73" i="13"/>
  <c r="Q83" i="13"/>
  <c r="R83" i="13" s="1"/>
  <c r="R81" i="13" s="1"/>
  <c r="G31" i="13"/>
  <c r="I47" i="13"/>
  <c r="M53" i="13"/>
  <c r="L53" i="13" s="1"/>
  <c r="Q58" i="13"/>
  <c r="L73" i="13"/>
  <c r="P73" i="13"/>
  <c r="H53" i="13"/>
  <c r="R58" i="13"/>
  <c r="I61" i="13"/>
  <c r="Q66" i="13"/>
  <c r="R71" i="13"/>
  <c r="H73" i="13"/>
  <c r="L85" i="13"/>
  <c r="R66" i="13"/>
  <c r="R65" i="13" s="1"/>
  <c r="Q65" i="13"/>
  <c r="R15" i="13"/>
  <c r="R14" i="13" s="1"/>
  <c r="Q14" i="13"/>
  <c r="R48" i="13"/>
  <c r="Q47" i="13"/>
  <c r="R54" i="13"/>
  <c r="R53" i="13" s="1"/>
  <c r="Q53" i="13"/>
  <c r="J53" i="13"/>
  <c r="N53" i="13"/>
  <c r="R87" i="13"/>
  <c r="R85" i="13" s="1"/>
  <c r="Q85" i="13" s="1"/>
  <c r="Q86" i="13"/>
  <c r="R110" i="13"/>
  <c r="R108" i="13" s="1"/>
  <c r="Q108" i="13"/>
  <c r="L97" i="13"/>
  <c r="L93" i="13" s="1"/>
  <c r="M93" i="13"/>
  <c r="P32" i="13"/>
  <c r="R33" i="13"/>
  <c r="R32" i="13" s="1"/>
  <c r="R31" i="13" s="1"/>
  <c r="Q32" i="13"/>
  <c r="Q31" i="13" s="1"/>
  <c r="P126" i="13"/>
  <c r="O126" i="13" s="1"/>
  <c r="O112" i="13" s="1"/>
  <c r="R47" i="13"/>
  <c r="I73" i="13"/>
  <c r="H43" i="13"/>
  <c r="H17" i="13"/>
  <c r="H13" i="13" s="1"/>
  <c r="Q22" i="13"/>
  <c r="Q44" i="13"/>
  <c r="L47" i="13"/>
  <c r="R78" i="13"/>
  <c r="R76" i="13" s="1"/>
  <c r="R73" i="13" s="1"/>
  <c r="I85" i="13"/>
  <c r="L86" i="13"/>
  <c r="I93" i="13"/>
  <c r="H93" i="13" s="1"/>
  <c r="G93" i="13" s="1"/>
  <c r="O93" i="13"/>
  <c r="O52" i="13" s="1"/>
  <c r="J101" i="13"/>
  <c r="J93" i="13" s="1"/>
  <c r="K93" i="13"/>
  <c r="K52" i="13" s="1"/>
  <c r="R22" i="13"/>
  <c r="Q61" i="13"/>
  <c r="I65" i="13"/>
  <c r="M14" i="13"/>
  <c r="Q18" i="13"/>
  <c r="L65" i="13"/>
  <c r="H69" i="13"/>
  <c r="Q70" i="13"/>
  <c r="Q76" i="13"/>
  <c r="N52" i="13" l="1"/>
  <c r="M52" i="13" s="1"/>
  <c r="L52" i="13"/>
  <c r="Q81" i="13"/>
  <c r="Q73" i="13"/>
  <c r="J52" i="13"/>
  <c r="I52" i="13" s="1"/>
  <c r="R70" i="13"/>
  <c r="R69" i="13" s="1"/>
  <c r="R52" i="13" s="1"/>
  <c r="Q69" i="13"/>
  <c r="Q52" i="13" s="1"/>
  <c r="P52" i="13" s="1"/>
  <c r="L14" i="13"/>
  <c r="P53" i="13"/>
  <c r="P14" i="13"/>
  <c r="R18" i="13"/>
  <c r="R17" i="13" s="1"/>
  <c r="Q17" i="13"/>
  <c r="P17" i="13" s="1"/>
  <c r="O17" i="13" s="1"/>
  <c r="N17" i="13" s="1"/>
  <c r="R44" i="13"/>
  <c r="N112" i="13"/>
  <c r="R13" i="13"/>
  <c r="R12" i="13" s="1"/>
  <c r="R86" i="13"/>
  <c r="P31" i="13"/>
  <c r="H52" i="13"/>
  <c r="G52" i="13" s="1"/>
  <c r="P150" i="11"/>
  <c r="P149" i="11"/>
  <c r="P148" i="11"/>
  <c r="Q147" i="11"/>
  <c r="O147" i="11"/>
  <c r="N147" i="11"/>
  <c r="M147" i="11"/>
  <c r="L147" i="11"/>
  <c r="K147" i="11"/>
  <c r="J147" i="11"/>
  <c r="I147" i="11"/>
  <c r="H147" i="11"/>
  <c r="G147" i="11"/>
  <c r="I145" i="11"/>
  <c r="H145" i="11"/>
  <c r="P145" i="11" s="1"/>
  <c r="P144" i="11"/>
  <c r="Q143" i="11"/>
  <c r="O143" i="11"/>
  <c r="N143" i="11"/>
  <c r="M143" i="11"/>
  <c r="M134" i="11" s="1"/>
  <c r="L143" i="11"/>
  <c r="K143" i="11"/>
  <c r="J143" i="11"/>
  <c r="G143" i="11"/>
  <c r="P142" i="11"/>
  <c r="I142" i="11"/>
  <c r="P141" i="11"/>
  <c r="P140" i="11"/>
  <c r="P139" i="11"/>
  <c r="P138" i="11"/>
  <c r="P137" i="11"/>
  <c r="Q137" i="11" s="1"/>
  <c r="O135" i="11"/>
  <c r="N135" i="11"/>
  <c r="M135" i="11"/>
  <c r="L135" i="11"/>
  <c r="G135" i="11"/>
  <c r="P132" i="11"/>
  <c r="O131" i="11"/>
  <c r="M131" i="11"/>
  <c r="L131" i="11"/>
  <c r="J131" i="11"/>
  <c r="I131" i="11"/>
  <c r="H131" i="11"/>
  <c r="H126" i="11" s="1"/>
  <c r="P130" i="11"/>
  <c r="Q130" i="11" s="1"/>
  <c r="I130" i="11"/>
  <c r="O129" i="11"/>
  <c r="J129" i="11"/>
  <c r="I129" i="11"/>
  <c r="M128" i="11"/>
  <c r="J128" i="11"/>
  <c r="I128" i="11"/>
  <c r="P127" i="11"/>
  <c r="I127" i="11"/>
  <c r="I126" i="11" s="1"/>
  <c r="N126" i="11"/>
  <c r="K126" i="11"/>
  <c r="G126" i="11"/>
  <c r="P124" i="11"/>
  <c r="I124" i="11"/>
  <c r="P123" i="11"/>
  <c r="O123" i="11"/>
  <c r="N123" i="11"/>
  <c r="M123" i="11"/>
  <c r="L123" i="11"/>
  <c r="K123" i="11"/>
  <c r="J123" i="11"/>
  <c r="H123" i="11"/>
  <c r="G123" i="11"/>
  <c r="P121" i="11"/>
  <c r="P120" i="11"/>
  <c r="Q120" i="11" s="1"/>
  <c r="I120" i="11"/>
  <c r="P119" i="11"/>
  <c r="P118" i="11"/>
  <c r="I118" i="11"/>
  <c r="P117" i="11"/>
  <c r="I117" i="11"/>
  <c r="O116" i="11"/>
  <c r="N116" i="11"/>
  <c r="M116" i="11"/>
  <c r="L116" i="11"/>
  <c r="K116" i="11"/>
  <c r="J116" i="11"/>
  <c r="H116" i="11"/>
  <c r="G116" i="11"/>
  <c r="P114" i="11"/>
  <c r="Q113" i="11"/>
  <c r="O113" i="11"/>
  <c r="N113" i="11"/>
  <c r="M113" i="11"/>
  <c r="L113" i="11"/>
  <c r="K113" i="11"/>
  <c r="J113" i="11"/>
  <c r="I113" i="11"/>
  <c r="H113" i="11"/>
  <c r="P111" i="11"/>
  <c r="P110" i="11"/>
  <c r="G110" i="11"/>
  <c r="Q109" i="11"/>
  <c r="O109" i="11"/>
  <c r="N109" i="11"/>
  <c r="M109" i="11"/>
  <c r="L109" i="11"/>
  <c r="K109" i="11"/>
  <c r="J109" i="11"/>
  <c r="I109" i="11"/>
  <c r="H109" i="11"/>
  <c r="M17" i="13" l="1"/>
  <c r="N13" i="13"/>
  <c r="O14" i="13"/>
  <c r="O13" i="13" s="1"/>
  <c r="P13" i="13"/>
  <c r="P12" i="13" s="1"/>
  <c r="O12" i="13" s="1"/>
  <c r="K14" i="13"/>
  <c r="M112" i="13"/>
  <c r="Q13" i="13"/>
  <c r="Q12" i="13" s="1"/>
  <c r="I123" i="11"/>
  <c r="I116" i="11"/>
  <c r="Q124" i="11"/>
  <c r="P131" i="11"/>
  <c r="Q131" i="11" s="1"/>
  <c r="N134" i="11"/>
  <c r="P116" i="11"/>
  <c r="Q119" i="11"/>
  <c r="Q127" i="11"/>
  <c r="O134" i="11"/>
  <c r="Q118" i="11"/>
  <c r="M126" i="11"/>
  <c r="L126" i="11" s="1"/>
  <c r="P128" i="11"/>
  <c r="Q128" i="11" s="1"/>
  <c r="O126" i="11"/>
  <c r="L134" i="11"/>
  <c r="P143" i="11"/>
  <c r="G109" i="11"/>
  <c r="P109" i="11"/>
  <c r="P113" i="11"/>
  <c r="J126" i="11"/>
  <c r="G134" i="11"/>
  <c r="I143" i="11"/>
  <c r="H143" i="11" s="1"/>
  <c r="P147" i="11"/>
  <c r="Q117" i="11"/>
  <c r="Q123" i="11"/>
  <c r="Q122" i="11" s="1"/>
  <c r="P122" i="11" s="1"/>
  <c r="O106" i="11"/>
  <c r="O104" i="11" s="1"/>
  <c r="N104" i="11" s="1"/>
  <c r="M104" i="11" s="1"/>
  <c r="N106" i="11"/>
  <c r="M106" i="11"/>
  <c r="L106" i="11"/>
  <c r="L104" i="11" s="1"/>
  <c r="K106" i="11"/>
  <c r="J106" i="11"/>
  <c r="I106" i="11"/>
  <c r="H106" i="11"/>
  <c r="H104" i="11" s="1"/>
  <c r="I105" i="11"/>
  <c r="G104" i="11"/>
  <c r="O102" i="11"/>
  <c r="N102" i="11"/>
  <c r="M102" i="11"/>
  <c r="L102" i="11"/>
  <c r="K102" i="11"/>
  <c r="J102" i="11"/>
  <c r="J97" i="11" s="1"/>
  <c r="I102" i="11"/>
  <c r="H102" i="11"/>
  <c r="O101" i="11"/>
  <c r="P101" i="11" s="1"/>
  <c r="Q101" i="11" s="1"/>
  <c r="I101" i="11"/>
  <c r="P100" i="11"/>
  <c r="I100" i="11"/>
  <c r="P99" i="11"/>
  <c r="Q99" i="11" s="1"/>
  <c r="I99" i="11"/>
  <c r="P98" i="11"/>
  <c r="Q98" i="11" s="1"/>
  <c r="I98" i="11"/>
  <c r="G97" i="11"/>
  <c r="O97" i="11" l="1"/>
  <c r="N12" i="13"/>
  <c r="O156" i="13"/>
  <c r="J14" i="13"/>
  <c r="L17" i="13"/>
  <c r="M13" i="13"/>
  <c r="P106" i="11"/>
  <c r="K104" i="11"/>
  <c r="Q116" i="11"/>
  <c r="I97" i="11"/>
  <c r="H97" i="11" s="1"/>
  <c r="P102" i="11"/>
  <c r="Q102" i="11" s="1"/>
  <c r="I104" i="11"/>
  <c r="O122" i="11"/>
  <c r="Q106" i="11"/>
  <c r="Q104" i="11" s="1"/>
  <c r="P104" i="11"/>
  <c r="Q100" i="11"/>
  <c r="N97" i="11"/>
  <c r="M97" i="11" s="1"/>
  <c r="L97" i="11" s="1"/>
  <c r="K97" i="11" s="1"/>
  <c r="J104" i="11"/>
  <c r="O95" i="11"/>
  <c r="O93" i="11" s="1"/>
  <c r="M95" i="11"/>
  <c r="M93" i="11" s="1"/>
  <c r="M89" i="11" s="1"/>
  <c r="L95" i="11"/>
  <c r="I95" i="11"/>
  <c r="P94" i="11"/>
  <c r="Q94" i="11" s="1"/>
  <c r="I94" i="11"/>
  <c r="N93" i="11"/>
  <c r="L93" i="11"/>
  <c r="L89" i="11" s="1"/>
  <c r="K93" i="11"/>
  <c r="K89" i="11" s="1"/>
  <c r="J93" i="11"/>
  <c r="H93" i="11"/>
  <c r="H89" i="11" s="1"/>
  <c r="G93" i="11"/>
  <c r="G89" i="11" s="1"/>
  <c r="Q91" i="11"/>
  <c r="P91" i="11"/>
  <c r="O90" i="11"/>
  <c r="P90" i="11" s="1"/>
  <c r="Q90" i="11" s="1"/>
  <c r="I90" i="11"/>
  <c r="J89" i="11"/>
  <c r="O87" i="11"/>
  <c r="O82" i="11" s="1"/>
  <c r="I87" i="11"/>
  <c r="H87" i="11"/>
  <c r="P86" i="11"/>
  <c r="Q86" i="11" s="1"/>
  <c r="I86" i="11"/>
  <c r="I85" i="11"/>
  <c r="H85" i="11"/>
  <c r="H81" i="11" s="1"/>
  <c r="P84" i="11"/>
  <c r="Q84" i="11" s="1"/>
  <c r="I84" i="11"/>
  <c r="L83" i="11"/>
  <c r="L81" i="11" s="1"/>
  <c r="I83" i="11"/>
  <c r="I82" i="11" s="1"/>
  <c r="N82" i="11"/>
  <c r="M82" i="11"/>
  <c r="L82" i="11"/>
  <c r="K82" i="11"/>
  <c r="J82" i="11"/>
  <c r="G82" i="11"/>
  <c r="N81" i="11"/>
  <c r="M81" i="11"/>
  <c r="K81" i="11"/>
  <c r="J81" i="11"/>
  <c r="P80" i="11"/>
  <c r="L79" i="11"/>
  <c r="L77" i="11" s="1"/>
  <c r="K79" i="11"/>
  <c r="P79" i="11" s="1"/>
  <c r="P77" i="11" s="1"/>
  <c r="I79" i="11"/>
  <c r="L78" i="11"/>
  <c r="P78" i="11" s="1"/>
  <c r="Q78" i="11" s="1"/>
  <c r="I78" i="11"/>
  <c r="O77" i="11"/>
  <c r="N77" i="11"/>
  <c r="M77" i="11"/>
  <c r="J77" i="11"/>
  <c r="I77" i="11"/>
  <c r="H77" i="11"/>
  <c r="G77" i="11"/>
  <c r="P75" i="11"/>
  <c r="I75" i="11"/>
  <c r="P74" i="11"/>
  <c r="Q74" i="11" s="1"/>
  <c r="I74" i="11"/>
  <c r="P73" i="11"/>
  <c r="Q73" i="11" s="1"/>
  <c r="I73" i="11"/>
  <c r="O72" i="11"/>
  <c r="N72" i="11"/>
  <c r="M72" i="11"/>
  <c r="L72" i="11"/>
  <c r="K72" i="11"/>
  <c r="J72" i="11"/>
  <c r="H72" i="11"/>
  <c r="G72" i="11"/>
  <c r="O70" i="11"/>
  <c r="N70" i="11"/>
  <c r="N69" i="11" s="1"/>
  <c r="M70" i="11"/>
  <c r="L70" i="11"/>
  <c r="L69" i="11" s="1"/>
  <c r="K70" i="11"/>
  <c r="J70" i="11"/>
  <c r="J69" i="11" s="1"/>
  <c r="I70" i="11"/>
  <c r="H70" i="11"/>
  <c r="G69" i="11"/>
  <c r="Q68" i="11"/>
  <c r="I68" i="11"/>
  <c r="P67" i="11"/>
  <c r="Q67" i="11" s="1"/>
  <c r="I67" i="11"/>
  <c r="O66" i="11"/>
  <c r="O65" i="11" s="1"/>
  <c r="N66" i="11"/>
  <c r="N65" i="11" s="1"/>
  <c r="M66" i="11"/>
  <c r="L66" i="11"/>
  <c r="K66" i="11"/>
  <c r="J66" i="11"/>
  <c r="I66" i="11"/>
  <c r="H66" i="11"/>
  <c r="K65" i="11"/>
  <c r="G65" i="11"/>
  <c r="Q64" i="11"/>
  <c r="I64" i="11"/>
  <c r="P63" i="11"/>
  <c r="Q63" i="11" s="1"/>
  <c r="I63" i="11"/>
  <c r="O62" i="11"/>
  <c r="L62" i="11"/>
  <c r="K62" i="11"/>
  <c r="I62" i="11"/>
  <c r="K77" i="11" l="1"/>
  <c r="H82" i="11"/>
  <c r="J65" i="11"/>
  <c r="O81" i="11"/>
  <c r="K17" i="13"/>
  <c r="L13" i="13"/>
  <c r="L12" i="13" s="1"/>
  <c r="M12" i="13"/>
  <c r="M156" i="13" s="1"/>
  <c r="N156" i="13"/>
  <c r="I14" i="13"/>
  <c r="P70" i="11"/>
  <c r="Q70" i="11" s="1"/>
  <c r="P97" i="11"/>
  <c r="I72" i="11"/>
  <c r="I69" i="11" s="1"/>
  <c r="P62" i="11"/>
  <c r="M65" i="11"/>
  <c r="M69" i="11"/>
  <c r="P72" i="11"/>
  <c r="P69" i="11" s="1"/>
  <c r="O69" i="11" s="1"/>
  <c r="I65" i="11"/>
  <c r="H65" i="11" s="1"/>
  <c r="K69" i="11"/>
  <c r="I81" i="11"/>
  <c r="O89" i="11"/>
  <c r="N89" i="11" s="1"/>
  <c r="L65" i="11"/>
  <c r="H69" i="11"/>
  <c r="Q97" i="11"/>
  <c r="Q79" i="11"/>
  <c r="Q77" i="11" s="1"/>
  <c r="G81" i="11"/>
  <c r="P95" i="11"/>
  <c r="P93" i="11" s="1"/>
  <c r="P89" i="11" s="1"/>
  <c r="Q95" i="11"/>
  <c r="Q93" i="11" s="1"/>
  <c r="Q89" i="11" s="1"/>
  <c r="N122" i="11"/>
  <c r="O108" i="11"/>
  <c r="I93" i="11"/>
  <c r="Q75" i="11"/>
  <c r="Q72" i="11" s="1"/>
  <c r="I89" i="11"/>
  <c r="P66" i="11"/>
  <c r="Q62" i="11"/>
  <c r="Q61" i="11" s="1"/>
  <c r="P61" i="11"/>
  <c r="O61" i="11"/>
  <c r="N61" i="11"/>
  <c r="M61" i="11"/>
  <c r="L61" i="11"/>
  <c r="K61" i="11"/>
  <c r="J61" i="11"/>
  <c r="I61" i="11"/>
  <c r="H61" i="11"/>
  <c r="G61" i="11"/>
  <c r="P59" i="11"/>
  <c r="Q59" i="11" s="1"/>
  <c r="I59" i="11"/>
  <c r="P58" i="11"/>
  <c r="I58" i="11"/>
  <c r="O57" i="11"/>
  <c r="N57" i="11"/>
  <c r="M57" i="11"/>
  <c r="L57" i="11"/>
  <c r="K57" i="11"/>
  <c r="J57" i="11"/>
  <c r="H57" i="11"/>
  <c r="G57" i="11"/>
  <c r="P55" i="11"/>
  <c r="P54" i="11" s="1"/>
  <c r="I55" i="11"/>
  <c r="O54" i="11"/>
  <c r="N54" i="11"/>
  <c r="M54" i="11"/>
  <c r="L54" i="11"/>
  <c r="K54" i="11"/>
  <c r="J54" i="11"/>
  <c r="H54" i="11"/>
  <c r="G54" i="11"/>
  <c r="P52" i="11"/>
  <c r="Q52" i="11" s="1"/>
  <c r="I52" i="11"/>
  <c r="P51" i="11"/>
  <c r="O50" i="11"/>
  <c r="N50" i="11"/>
  <c r="M50" i="11"/>
  <c r="L50" i="11"/>
  <c r="K50" i="11"/>
  <c r="J50" i="11"/>
  <c r="I50" i="11"/>
  <c r="H50" i="11"/>
  <c r="L49" i="11"/>
  <c r="P46" i="11"/>
  <c r="Q46" i="11" s="1"/>
  <c r="I46" i="11"/>
  <c r="P45" i="11"/>
  <c r="Q45" i="11" s="1"/>
  <c r="I45" i="11"/>
  <c r="L44" i="11"/>
  <c r="L43" i="11" s="1"/>
  <c r="I44" i="11"/>
  <c r="O43" i="11"/>
  <c r="N43" i="11"/>
  <c r="M43" i="11"/>
  <c r="K43" i="11"/>
  <c r="J43" i="11"/>
  <c r="H43" i="11"/>
  <c r="G43" i="11"/>
  <c r="H41" i="11"/>
  <c r="H40" i="11"/>
  <c r="I40" i="11" s="1"/>
  <c r="N39" i="11"/>
  <c r="M39" i="11"/>
  <c r="L39" i="11"/>
  <c r="G39" i="11"/>
  <c r="P35" i="11"/>
  <c r="I35" i="11"/>
  <c r="P34" i="11"/>
  <c r="P33" i="11"/>
  <c r="P32" i="11"/>
  <c r="O32" i="11"/>
  <c r="N32" i="11"/>
  <c r="M32" i="11"/>
  <c r="L32" i="11"/>
  <c r="K32" i="11"/>
  <c r="J32" i="11"/>
  <c r="H32" i="11"/>
  <c r="G32" i="11"/>
  <c r="P28" i="11"/>
  <c r="P27" i="11"/>
  <c r="P26" i="11"/>
  <c r="Q25" i="11"/>
  <c r="O25" i="11"/>
  <c r="N25" i="11"/>
  <c r="M25" i="11"/>
  <c r="L25" i="11"/>
  <c r="K25" i="11"/>
  <c r="J25" i="11"/>
  <c r="I25" i="11"/>
  <c r="H25" i="11"/>
  <c r="G25" i="11"/>
  <c r="P23" i="11"/>
  <c r="Q23" i="11" s="1"/>
  <c r="I23" i="11"/>
  <c r="O22" i="11"/>
  <c r="N22" i="11"/>
  <c r="M22" i="11"/>
  <c r="L22" i="11"/>
  <c r="K22" i="11"/>
  <c r="J22" i="11"/>
  <c r="I22" i="11" s="1"/>
  <c r="H22" i="11"/>
  <c r="G22" i="11"/>
  <c r="P20" i="11"/>
  <c r="Q20" i="11" s="1"/>
  <c r="I20" i="11"/>
  <c r="P19" i="11"/>
  <c r="O18" i="11"/>
  <c r="N18" i="11"/>
  <c r="M18" i="11"/>
  <c r="L18" i="11"/>
  <c r="K18" i="11"/>
  <c r="J18" i="11"/>
  <c r="I18" i="11"/>
  <c r="H18" i="11"/>
  <c r="O17" i="11"/>
  <c r="H17" i="11"/>
  <c r="G17" i="11"/>
  <c r="G13" i="11" s="1"/>
  <c r="O15" i="11"/>
  <c r="O14" i="11" s="1"/>
  <c r="N15" i="11"/>
  <c r="M15" i="11"/>
  <c r="L15" i="11"/>
  <c r="K15" i="11"/>
  <c r="J15" i="11"/>
  <c r="I15" i="11"/>
  <c r="H15" i="11"/>
  <c r="G14" i="11"/>
  <c r="A5" i="11"/>
  <c r="O152" i="10"/>
  <c r="O151" i="10"/>
  <c r="O150" i="10"/>
  <c r="P149" i="10"/>
  <c r="N149" i="10"/>
  <c r="M149" i="10"/>
  <c r="L149" i="10"/>
  <c r="K149" i="10"/>
  <c r="J149" i="10"/>
  <c r="I149" i="10"/>
  <c r="H149" i="10"/>
  <c r="G149" i="10"/>
  <c r="O147" i="10"/>
  <c r="I147" i="10"/>
  <c r="H147" i="10"/>
  <c r="O146" i="10"/>
  <c r="P145" i="10"/>
  <c r="O145" i="10"/>
  <c r="N145" i="10"/>
  <c r="M145" i="10"/>
  <c r="L145" i="10"/>
  <c r="K145" i="10"/>
  <c r="J145" i="10"/>
  <c r="G145" i="10"/>
  <c r="O144" i="10"/>
  <c r="I144" i="10"/>
  <c r="I137" i="10" s="1"/>
  <c r="O143" i="10"/>
  <c r="O142" i="10"/>
  <c r="O141" i="10"/>
  <c r="O140" i="10"/>
  <c r="O139" i="10"/>
  <c r="P139" i="10" s="1"/>
  <c r="N137" i="10"/>
  <c r="N136" i="10" s="1"/>
  <c r="M137" i="10"/>
  <c r="L137" i="10"/>
  <c r="G137" i="10"/>
  <c r="O134" i="10"/>
  <c r="M133" i="10"/>
  <c r="L133" i="10"/>
  <c r="J133" i="10"/>
  <c r="I133" i="10"/>
  <c r="H133" i="10"/>
  <c r="O133" i="10" s="1"/>
  <c r="P133" i="10" s="1"/>
  <c r="O132" i="10"/>
  <c r="P132" i="10" s="1"/>
  <c r="I132" i="10"/>
  <c r="J131" i="10"/>
  <c r="O131" i="10" s="1"/>
  <c r="P131" i="10" s="1"/>
  <c r="I131" i="10"/>
  <c r="M130" i="10"/>
  <c r="J130" i="10"/>
  <c r="I130" i="10"/>
  <c r="O129" i="10"/>
  <c r="P129" i="10" s="1"/>
  <c r="I129" i="10"/>
  <c r="M136" i="10" l="1"/>
  <c r="L136" i="10" s="1"/>
  <c r="O130" i="10"/>
  <c r="P130" i="10" s="1"/>
  <c r="G136" i="10"/>
  <c r="O149" i="10"/>
  <c r="M49" i="11"/>
  <c r="Q51" i="11"/>
  <c r="Q55" i="11"/>
  <c r="K12" i="13"/>
  <c r="L156" i="13"/>
  <c r="J17" i="13"/>
  <c r="K13" i="13"/>
  <c r="Q69" i="11"/>
  <c r="I32" i="11"/>
  <c r="M48" i="11"/>
  <c r="I54" i="11"/>
  <c r="I49" i="11" s="1"/>
  <c r="P25" i="11"/>
  <c r="Q35" i="11"/>
  <c r="Q32" i="11" s="1"/>
  <c r="Q31" i="11" s="1"/>
  <c r="P31" i="11" s="1"/>
  <c r="O31" i="11" s="1"/>
  <c r="N31" i="11" s="1"/>
  <c r="M31" i="11" s="1"/>
  <c r="L31" i="11" s="1"/>
  <c r="K31" i="11" s="1"/>
  <c r="J31" i="11" s="1"/>
  <c r="I31" i="11" s="1"/>
  <c r="H31" i="11" s="1"/>
  <c r="G31" i="11" s="1"/>
  <c r="G12" i="11" s="1"/>
  <c r="I43" i="11"/>
  <c r="I57" i="11"/>
  <c r="P57" i="11"/>
  <c r="P22" i="11"/>
  <c r="H49" i="11"/>
  <c r="H48" i="11" s="1"/>
  <c r="L48" i="11"/>
  <c r="K49" i="11"/>
  <c r="K48" i="11" s="1"/>
  <c r="J49" i="11"/>
  <c r="N14" i="11"/>
  <c r="O13" i="11"/>
  <c r="G49" i="11"/>
  <c r="M122" i="11"/>
  <c r="L122" i="11" s="1"/>
  <c r="K122" i="11" s="1"/>
  <c r="N108" i="11"/>
  <c r="P15" i="11"/>
  <c r="N17" i="11"/>
  <c r="M17" i="11" s="1"/>
  <c r="L17" i="11" s="1"/>
  <c r="K17" i="11" s="1"/>
  <c r="J17" i="11" s="1"/>
  <c r="I17" i="11" s="1"/>
  <c r="Q22" i="11"/>
  <c r="I41" i="11"/>
  <c r="I39" i="11" s="1"/>
  <c r="Q58" i="11"/>
  <c r="Q57" i="11" s="1"/>
  <c r="P65" i="11"/>
  <c r="Q66" i="11"/>
  <c r="Q65" i="11" s="1"/>
  <c r="H39" i="11"/>
  <c r="P50" i="11"/>
  <c r="P18" i="11"/>
  <c r="Q18" i="11" s="1"/>
  <c r="Q17" i="11" s="1"/>
  <c r="P17" i="11" s="1"/>
  <c r="Q54" i="11"/>
  <c r="I145" i="10"/>
  <c r="H145" i="10" s="1"/>
  <c r="P128" i="10"/>
  <c r="O128" i="10"/>
  <c r="N128" i="10"/>
  <c r="M128" i="10"/>
  <c r="L128" i="10" s="1"/>
  <c r="K128" i="10"/>
  <c r="J128" i="10"/>
  <c r="I128" i="10" s="1"/>
  <c r="H128" i="10"/>
  <c r="G128" i="10"/>
  <c r="O126" i="10"/>
  <c r="P126" i="10" s="1"/>
  <c r="I126" i="10"/>
  <c r="O125" i="10"/>
  <c r="N125" i="10"/>
  <c r="M125" i="10"/>
  <c r="L125" i="10"/>
  <c r="K125" i="10"/>
  <c r="J125" i="10"/>
  <c r="H125" i="10"/>
  <c r="G125" i="10"/>
  <c r="O123" i="10"/>
  <c r="P122" i="10" s="1"/>
  <c r="O122" i="10"/>
  <c r="I122" i="10"/>
  <c r="O121" i="10"/>
  <c r="O120" i="10"/>
  <c r="I120" i="10"/>
  <c r="O119" i="10"/>
  <c r="P119" i="10" s="1"/>
  <c r="I119" i="10"/>
  <c r="N118" i="10"/>
  <c r="M118" i="10"/>
  <c r="L118" i="10"/>
  <c r="K118" i="10"/>
  <c r="J118" i="10"/>
  <c r="H118" i="10"/>
  <c r="G118" i="10"/>
  <c r="O116" i="10"/>
  <c r="P115" i="10"/>
  <c r="N115" i="10"/>
  <c r="M115" i="10"/>
  <c r="L115" i="10"/>
  <c r="K115" i="10"/>
  <c r="J115" i="10"/>
  <c r="I115" i="10"/>
  <c r="H115" i="10"/>
  <c r="O113" i="10"/>
  <c r="O112" i="10"/>
  <c r="G112" i="10"/>
  <c r="P111" i="10"/>
  <c r="O111" i="10" s="1"/>
  <c r="N111" i="10"/>
  <c r="M111" i="10"/>
  <c r="L111" i="10"/>
  <c r="K111" i="10"/>
  <c r="J111" i="10"/>
  <c r="I111" i="10"/>
  <c r="H111" i="10"/>
  <c r="G111" i="10" s="1"/>
  <c r="N108" i="10"/>
  <c r="N106" i="10" s="1"/>
  <c r="M108" i="10"/>
  <c r="L108" i="10"/>
  <c r="K108" i="10"/>
  <c r="J108" i="10"/>
  <c r="I108" i="10"/>
  <c r="H108" i="10"/>
  <c r="I107" i="10"/>
  <c r="I106" i="10" s="1"/>
  <c r="G106" i="10"/>
  <c r="N104" i="10"/>
  <c r="M104" i="10"/>
  <c r="L104" i="10"/>
  <c r="K104" i="10"/>
  <c r="O104" i="10" s="1"/>
  <c r="P104" i="10" s="1"/>
  <c r="J104" i="10"/>
  <c r="I104" i="10"/>
  <c r="H104" i="10"/>
  <c r="P103" i="10"/>
  <c r="O103" i="10"/>
  <c r="I103" i="10"/>
  <c r="O102" i="10"/>
  <c r="P102" i="10" s="1"/>
  <c r="I102" i="10"/>
  <c r="O101" i="10"/>
  <c r="P101" i="10" s="1"/>
  <c r="I101" i="10"/>
  <c r="O100" i="10"/>
  <c r="P100" i="10" s="1"/>
  <c r="I100" i="10"/>
  <c r="N99" i="10"/>
  <c r="M99" i="10"/>
  <c r="L99" i="10"/>
  <c r="J99" i="10"/>
  <c r="H99" i="10"/>
  <c r="G99" i="10"/>
  <c r="M97" i="10"/>
  <c r="M95" i="10" s="1"/>
  <c r="L97" i="10"/>
  <c r="I97" i="10"/>
  <c r="O96" i="10"/>
  <c r="I96" i="10"/>
  <c r="K95" i="10"/>
  <c r="J95" i="10"/>
  <c r="H95" i="10"/>
  <c r="G95" i="10"/>
  <c r="G91" i="10" s="1"/>
  <c r="O93" i="10"/>
  <c r="P93" i="10" s="1"/>
  <c r="O92" i="10"/>
  <c r="P92" i="10" s="1"/>
  <c r="I92" i="10"/>
  <c r="I89" i="10"/>
  <c r="H89" i="10"/>
  <c r="O88" i="10"/>
  <c r="I88" i="10"/>
  <c r="I87" i="10"/>
  <c r="H87" i="10"/>
  <c r="O86" i="10"/>
  <c r="I86" i="10"/>
  <c r="L85" i="10"/>
  <c r="I85" i="10"/>
  <c r="I83" i="10" s="1"/>
  <c r="N84" i="10"/>
  <c r="M84" i="10"/>
  <c r="L84" i="10"/>
  <c r="K84" i="10"/>
  <c r="J84" i="10"/>
  <c r="G84" i="10"/>
  <c r="N83" i="10"/>
  <c r="M83" i="10"/>
  <c r="L83" i="10"/>
  <c r="K83" i="10"/>
  <c r="J83" i="10"/>
  <c r="H83" i="10"/>
  <c r="G83" i="10" s="1"/>
  <c r="O81" i="10"/>
  <c r="L80" i="10"/>
  <c r="K80" i="10"/>
  <c r="K78" i="10" s="1"/>
  <c r="I80" i="10"/>
  <c r="O79" i="10"/>
  <c r="P79" i="10" s="1"/>
  <c r="L79" i="10"/>
  <c r="I79" i="10"/>
  <c r="N78" i="10"/>
  <c r="M78" i="10"/>
  <c r="J78" i="10"/>
  <c r="I78" i="10"/>
  <c r="H78" i="10"/>
  <c r="G78" i="10"/>
  <c r="O75" i="10"/>
  <c r="P75" i="10" s="1"/>
  <c r="I75" i="10"/>
  <c r="P74" i="10"/>
  <c r="O74" i="10"/>
  <c r="I74" i="10"/>
  <c r="O73" i="10"/>
  <c r="P73" i="10" s="1"/>
  <c r="I73" i="10"/>
  <c r="I72" i="10" s="1"/>
  <c r="N72" i="10"/>
  <c r="M72" i="10"/>
  <c r="L72" i="10"/>
  <c r="K72" i="10"/>
  <c r="J72" i="10"/>
  <c r="H72" i="10"/>
  <c r="G72" i="10"/>
  <c r="N70" i="10"/>
  <c r="M70" i="10"/>
  <c r="L70" i="10"/>
  <c r="K70" i="10"/>
  <c r="J70" i="10"/>
  <c r="I70" i="10"/>
  <c r="H70" i="10"/>
  <c r="P88" i="10" l="1"/>
  <c r="I99" i="10"/>
  <c r="M106" i="10"/>
  <c r="L106" i="10" s="1"/>
  <c r="K106" i="10" s="1"/>
  <c r="J106" i="10" s="1"/>
  <c r="P120" i="10"/>
  <c r="O70" i="10"/>
  <c r="J48" i="11"/>
  <c r="N69" i="10"/>
  <c r="M69" i="10" s="1"/>
  <c r="O80" i="10"/>
  <c r="O78" i="10" s="1"/>
  <c r="O97" i="10"/>
  <c r="O95" i="10" s="1"/>
  <c r="O108" i="10"/>
  <c r="I118" i="10"/>
  <c r="I17" i="13"/>
  <c r="I13" i="13" s="1"/>
  <c r="J13" i="13"/>
  <c r="J12" i="13" s="1"/>
  <c r="I48" i="11"/>
  <c r="J122" i="11"/>
  <c r="I122" i="11" s="1"/>
  <c r="H122" i="11" s="1"/>
  <c r="G122" i="11" s="1"/>
  <c r="M108" i="11"/>
  <c r="L108" i="11" s="1"/>
  <c r="P49" i="11"/>
  <c r="Q50" i="11"/>
  <c r="Q49" i="11" s="1"/>
  <c r="Q15" i="11"/>
  <c r="Q14" i="11" s="1"/>
  <c r="Q13" i="11" s="1"/>
  <c r="P14" i="11"/>
  <c r="M14" i="11"/>
  <c r="N13" i="11"/>
  <c r="G48" i="11"/>
  <c r="P118" i="10"/>
  <c r="O106" i="10"/>
  <c r="P108" i="10"/>
  <c r="P106" i="10" s="1"/>
  <c r="O72" i="10"/>
  <c r="O69" i="10" s="1"/>
  <c r="H84" i="10"/>
  <c r="L95" i="10"/>
  <c r="L91" i="10" s="1"/>
  <c r="O99" i="10"/>
  <c r="P70" i="10"/>
  <c r="L78" i="10"/>
  <c r="H106" i="10"/>
  <c r="O118" i="10"/>
  <c r="P121" i="10"/>
  <c r="P125" i="10"/>
  <c r="P124" i="10" s="1"/>
  <c r="O124" i="10" s="1"/>
  <c r="N124" i="10" s="1"/>
  <c r="M124" i="10" s="1"/>
  <c r="L124" i="10" s="1"/>
  <c r="K124" i="10" s="1"/>
  <c r="J124" i="10" s="1"/>
  <c r="P72" i="10"/>
  <c r="P69" i="10" s="1"/>
  <c r="I84" i="10"/>
  <c r="P86" i="10"/>
  <c r="I95" i="10"/>
  <c r="I91" i="10" s="1"/>
  <c r="H91" i="10" s="1"/>
  <c r="P96" i="10"/>
  <c r="P95" i="10" s="1"/>
  <c r="P91" i="10" s="1"/>
  <c r="O91" i="10" s="1"/>
  <c r="N91" i="10" s="1"/>
  <c r="M91" i="10" s="1"/>
  <c r="P97" i="10"/>
  <c r="K99" i="10"/>
  <c r="K91" i="10" s="1"/>
  <c r="J91" i="10" s="1"/>
  <c r="P99" i="10"/>
  <c r="O115" i="10"/>
  <c r="I125" i="10"/>
  <c r="L69" i="10"/>
  <c r="K69" i="10" s="1"/>
  <c r="J69" i="10"/>
  <c r="I69" i="10" s="1"/>
  <c r="H69" i="10"/>
  <c r="G69" i="10"/>
  <c r="P68" i="10"/>
  <c r="I68" i="10"/>
  <c r="O67" i="10"/>
  <c r="I67" i="10"/>
  <c r="N66" i="10"/>
  <c r="N65" i="10" s="1"/>
  <c r="M65" i="10" s="1"/>
  <c r="M66" i="10"/>
  <c r="L66" i="10"/>
  <c r="K66" i="10"/>
  <c r="J66" i="10"/>
  <c r="I66" i="10"/>
  <c r="H66" i="10"/>
  <c r="G65" i="10"/>
  <c r="P64" i="10"/>
  <c r="I64" i="10"/>
  <c r="O63" i="10"/>
  <c r="P63" i="10" s="1"/>
  <c r="I63" i="10"/>
  <c r="I61" i="10" s="1"/>
  <c r="L62" i="10"/>
  <c r="L61" i="10" s="1"/>
  <c r="K62" i="10"/>
  <c r="K61" i="10" s="1"/>
  <c r="I62" i="10"/>
  <c r="N61" i="10"/>
  <c r="M61" i="10"/>
  <c r="J61" i="10"/>
  <c r="H61" i="10"/>
  <c r="G61" i="10"/>
  <c r="O59" i="10"/>
  <c r="P59" i="10" s="1"/>
  <c r="I59" i="10"/>
  <c r="I57" i="10" s="1"/>
  <c r="O58" i="10"/>
  <c r="P58" i="10" s="1"/>
  <c r="I58" i="10"/>
  <c r="N57" i="10"/>
  <c r="M57" i="10"/>
  <c r="L57" i="10"/>
  <c r="K57" i="10"/>
  <c r="J57" i="10"/>
  <c r="H57" i="10"/>
  <c r="G57" i="10"/>
  <c r="O55" i="10"/>
  <c r="O54" i="10" s="1"/>
  <c r="I55" i="10"/>
  <c r="N54" i="10"/>
  <c r="N49" i="10" s="1"/>
  <c r="M54" i="10"/>
  <c r="L54" i="10"/>
  <c r="K54" i="10"/>
  <c r="K49" i="10" s="1"/>
  <c r="J54" i="10"/>
  <c r="H54" i="10"/>
  <c r="G54" i="10"/>
  <c r="O52" i="10"/>
  <c r="P52" i="10" s="1"/>
  <c r="I52" i="10"/>
  <c r="O51" i="10"/>
  <c r="N50" i="10"/>
  <c r="M50" i="10"/>
  <c r="M49" i="10" s="1"/>
  <c r="L50" i="10"/>
  <c r="K50" i="10"/>
  <c r="J50" i="10"/>
  <c r="I50" i="10"/>
  <c r="H50" i="10"/>
  <c r="P67" i="10" l="1"/>
  <c r="P80" i="10"/>
  <c r="P78" i="10" s="1"/>
  <c r="P57" i="10"/>
  <c r="L49" i="10"/>
  <c r="O50" i="10"/>
  <c r="H49" i="10"/>
  <c r="G49" i="10" s="1"/>
  <c r="P55" i="10"/>
  <c r="P54" i="10" s="1"/>
  <c r="I12" i="13"/>
  <c r="H12" i="13" s="1"/>
  <c r="G12" i="13" s="1"/>
  <c r="P13" i="11"/>
  <c r="L14" i="11"/>
  <c r="M13" i="11"/>
  <c r="O49" i="11"/>
  <c r="N49" i="11" s="1"/>
  <c r="P50" i="10"/>
  <c r="O49" i="10"/>
  <c r="M48" i="10"/>
  <c r="O62" i="10"/>
  <c r="P62" i="10" s="1"/>
  <c r="P61" i="10" s="1"/>
  <c r="O61" i="10" s="1"/>
  <c r="L65" i="10"/>
  <c r="K65" i="10" s="1"/>
  <c r="J65" i="10" s="1"/>
  <c r="I65" i="10" s="1"/>
  <c r="H65" i="10" s="1"/>
  <c r="H48" i="10" s="1"/>
  <c r="I54" i="10"/>
  <c r="I49" i="10" s="1"/>
  <c r="J49" i="10"/>
  <c r="J48" i="10" s="1"/>
  <c r="P51" i="10"/>
  <c r="P49" i="10" s="1"/>
  <c r="M110" i="10"/>
  <c r="I124" i="10"/>
  <c r="L110" i="10"/>
  <c r="O57" i="10"/>
  <c r="O66" i="10"/>
  <c r="O65" i="10" s="1"/>
  <c r="K48" i="10"/>
  <c r="I48" i="10"/>
  <c r="G48" i="10"/>
  <c r="O46" i="10"/>
  <c r="P46" i="10" s="1"/>
  <c r="I46" i="10"/>
  <c r="O45" i="10"/>
  <c r="P45" i="10" s="1"/>
  <c r="I45" i="10"/>
  <c r="L44" i="10"/>
  <c r="L43" i="10" s="1"/>
  <c r="I44" i="10"/>
  <c r="N43" i="10"/>
  <c r="M43" i="10"/>
  <c r="K43" i="10"/>
  <c r="J43" i="10"/>
  <c r="H43" i="10"/>
  <c r="G43" i="10"/>
  <c r="P66" i="10" l="1"/>
  <c r="P65" i="10" s="1"/>
  <c r="K14" i="11"/>
  <c r="L13" i="11"/>
  <c r="H124" i="10"/>
  <c r="I43" i="10"/>
  <c r="L48" i="10"/>
  <c r="J14" i="11" l="1"/>
  <c r="K13" i="11"/>
  <c r="G124" i="10"/>
  <c r="H41" i="10"/>
  <c r="I41" i="10" s="1"/>
  <c r="J41" i="10" s="1"/>
  <c r="K41" i="10" s="1"/>
  <c r="H40" i="10"/>
  <c r="N39" i="10"/>
  <c r="M39" i="10"/>
  <c r="L39" i="10"/>
  <c r="H39" i="10"/>
  <c r="G39" i="10"/>
  <c r="O35" i="10"/>
  <c r="P35" i="10" s="1"/>
  <c r="I35" i="10"/>
  <c r="O34" i="10"/>
  <c r="O33" i="10"/>
  <c r="N32" i="10"/>
  <c r="M32" i="10"/>
  <c r="L32" i="10"/>
  <c r="K32" i="10"/>
  <c r="J32" i="10"/>
  <c r="H32" i="10"/>
  <c r="G32" i="10"/>
  <c r="O28" i="10"/>
  <c r="O27" i="10"/>
  <c r="O26" i="10"/>
  <c r="O25" i="10" s="1"/>
  <c r="P25" i="10"/>
  <c r="N25" i="10"/>
  <c r="M25" i="10"/>
  <c r="L25" i="10"/>
  <c r="K25" i="10"/>
  <c r="J25" i="10"/>
  <c r="I25" i="10"/>
  <c r="H25" i="10"/>
  <c r="G25" i="10"/>
  <c r="O23" i="10"/>
  <c r="P23" i="10" s="1"/>
  <c r="I23" i="10"/>
  <c r="N22" i="10"/>
  <c r="M22" i="10"/>
  <c r="L22" i="10"/>
  <c r="K22" i="10"/>
  <c r="J22" i="10"/>
  <c r="H22" i="10"/>
  <c r="G22" i="10"/>
  <c r="O20" i="10"/>
  <c r="P20" i="10" s="1"/>
  <c r="I20" i="10"/>
  <c r="O19" i="10"/>
  <c r="N18" i="10"/>
  <c r="N17" i="10" s="1"/>
  <c r="M17" i="10" s="1"/>
  <c r="L17" i="10" s="1"/>
  <c r="K17" i="10" s="1"/>
  <c r="M18" i="10"/>
  <c r="L18" i="10"/>
  <c r="K18" i="10"/>
  <c r="J18" i="10"/>
  <c r="I18" i="10"/>
  <c r="H18" i="10"/>
  <c r="O18" i="10" s="1"/>
  <c r="O17" i="10" s="1"/>
  <c r="J17" i="10"/>
  <c r="G17" i="10"/>
  <c r="N15" i="10"/>
  <c r="M15" i="10"/>
  <c r="L15" i="10"/>
  <c r="K15" i="10"/>
  <c r="J15" i="10"/>
  <c r="I15" i="10"/>
  <c r="H15" i="10"/>
  <c r="H14" i="10"/>
  <c r="G14" i="10"/>
  <c r="A5" i="10"/>
  <c r="N152" i="8"/>
  <c r="N151" i="8"/>
  <c r="N150" i="8"/>
  <c r="N149" i="8" s="1"/>
  <c r="O149" i="8"/>
  <c r="M149" i="8"/>
  <c r="L149" i="8"/>
  <c r="K149" i="8"/>
  <c r="J149" i="8"/>
  <c r="I149" i="8"/>
  <c r="H149" i="8"/>
  <c r="G149" i="8"/>
  <c r="I147" i="8"/>
  <c r="H147" i="8"/>
  <c r="N147" i="8" s="1"/>
  <c r="N146" i="8"/>
  <c r="O145" i="8"/>
  <c r="M145" i="8"/>
  <c r="L145" i="8"/>
  <c r="K145" i="8"/>
  <c r="J145" i="8"/>
  <c r="G145" i="8"/>
  <c r="I144" i="8"/>
  <c r="N143" i="8"/>
  <c r="N142" i="8"/>
  <c r="N141" i="8"/>
  <c r="N140" i="8"/>
  <c r="N139" i="8"/>
  <c r="O139" i="8" s="1"/>
  <c r="O137" i="8" s="1"/>
  <c r="K138" i="8"/>
  <c r="J138" i="8" s="1"/>
  <c r="M137" i="8"/>
  <c r="L137" i="8"/>
  <c r="G137" i="8"/>
  <c r="O15" i="10" l="1"/>
  <c r="O14" i="10" s="1"/>
  <c r="I145" i="8"/>
  <c r="H145" i="8" s="1"/>
  <c r="P31" i="10"/>
  <c r="O31" i="10" s="1"/>
  <c r="N31" i="10" s="1"/>
  <c r="K137" i="8"/>
  <c r="J137" i="8" s="1"/>
  <c r="I137" i="8" s="1"/>
  <c r="G13" i="10"/>
  <c r="P32" i="10"/>
  <c r="O32" i="10" s="1"/>
  <c r="I14" i="11"/>
  <c r="J13" i="11"/>
  <c r="N14" i="10"/>
  <c r="O41" i="10"/>
  <c r="P41" i="10" s="1"/>
  <c r="I17" i="10"/>
  <c r="M31" i="10"/>
  <c r="L31" i="10" s="1"/>
  <c r="K31" i="10" s="1"/>
  <c r="J31" i="10" s="1"/>
  <c r="P22" i="10"/>
  <c r="H17" i="10"/>
  <c r="H13" i="10" s="1"/>
  <c r="O22" i="10"/>
  <c r="O13" i="10" s="1"/>
  <c r="P18" i="10"/>
  <c r="P17" i="10" s="1"/>
  <c r="P15" i="10"/>
  <c r="P14" i="10" s="1"/>
  <c r="I22" i="10"/>
  <c r="I32" i="10"/>
  <c r="N145" i="8"/>
  <c r="M136" i="8"/>
  <c r="L136" i="8"/>
  <c r="J136" i="8"/>
  <c r="G136" i="8"/>
  <c r="N134" i="8"/>
  <c r="M133" i="8"/>
  <c r="L133" i="8"/>
  <c r="J133" i="8"/>
  <c r="I133" i="8"/>
  <c r="H133" i="8"/>
  <c r="O132" i="8"/>
  <c r="N132" i="8"/>
  <c r="I132" i="8"/>
  <c r="J131" i="8"/>
  <c r="I131" i="8"/>
  <c r="M130" i="8"/>
  <c r="J130" i="8"/>
  <c r="I130" i="8"/>
  <c r="O129" i="8"/>
  <c r="N129" i="8"/>
  <c r="I129" i="8"/>
  <c r="K136" i="8" l="1"/>
  <c r="P13" i="10"/>
  <c r="N133" i="8"/>
  <c r="O133" i="8" s="1"/>
  <c r="I31" i="10"/>
  <c r="H31" i="10" s="1"/>
  <c r="G31" i="10" s="1"/>
  <c r="H14" i="11"/>
  <c r="I13" i="11"/>
  <c r="M14" i="10"/>
  <c r="N13" i="10"/>
  <c r="M128" i="8"/>
  <c r="L128" i="8" s="1"/>
  <c r="K128" i="8"/>
  <c r="J128" i="8"/>
  <c r="I128" i="8" s="1"/>
  <c r="H128" i="8" s="1"/>
  <c r="G128" i="8"/>
  <c r="N126" i="8"/>
  <c r="O126" i="8" s="1"/>
  <c r="I126" i="8"/>
  <c r="M125" i="8"/>
  <c r="L125" i="8"/>
  <c r="K125" i="8"/>
  <c r="J125" i="8"/>
  <c r="I125" i="8" s="1"/>
  <c r="H125" i="8"/>
  <c r="G125" i="8"/>
  <c r="N123" i="8"/>
  <c r="N122" i="8"/>
  <c r="O122" i="8" s="1"/>
  <c r="I122" i="8"/>
  <c r="N121" i="8"/>
  <c r="O121" i="8" s="1"/>
  <c r="N120" i="8"/>
  <c r="O120" i="8" s="1"/>
  <c r="I120" i="8"/>
  <c r="N119" i="8"/>
  <c r="O119" i="8" s="1"/>
  <c r="O118" i="8" s="1"/>
  <c r="I119" i="8"/>
  <c r="N118" i="8"/>
  <c r="M118" i="8"/>
  <c r="L118" i="8"/>
  <c r="K118" i="8"/>
  <c r="J118" i="8"/>
  <c r="H118" i="8"/>
  <c r="G118" i="8"/>
  <c r="N116" i="8"/>
  <c r="N115" i="8" s="1"/>
  <c r="O115" i="8"/>
  <c r="M115" i="8"/>
  <c r="L115" i="8"/>
  <c r="K115" i="8"/>
  <c r="J115" i="8"/>
  <c r="I115" i="8"/>
  <c r="H115" i="8"/>
  <c r="N113" i="8"/>
  <c r="N112" i="8"/>
  <c r="G112" i="8"/>
  <c r="O111" i="8"/>
  <c r="L111" i="8"/>
  <c r="K111" i="8"/>
  <c r="J111" i="8"/>
  <c r="I111" i="8"/>
  <c r="H111" i="8"/>
  <c r="M108" i="8"/>
  <c r="L108" i="8"/>
  <c r="K108" i="8"/>
  <c r="J108" i="8"/>
  <c r="I108" i="8"/>
  <c r="H108" i="8"/>
  <c r="I107" i="8"/>
  <c r="H106" i="8"/>
  <c r="G106" i="8"/>
  <c r="M104" i="8"/>
  <c r="L104" i="8"/>
  <c r="K104" i="8"/>
  <c r="J104" i="8"/>
  <c r="I104" i="8"/>
  <c r="H104" i="8"/>
  <c r="N103" i="8"/>
  <c r="O103" i="8" s="1"/>
  <c r="I103" i="8"/>
  <c r="N102" i="8"/>
  <c r="O102" i="8" s="1"/>
  <c r="I102" i="8"/>
  <c r="O101" i="8"/>
  <c r="N101" i="8"/>
  <c r="I101" i="8"/>
  <c r="N100" i="8"/>
  <c r="O100" i="8" s="1"/>
  <c r="I100" i="8"/>
  <c r="G99" i="8"/>
  <c r="G91" i="8" s="1"/>
  <c r="M97" i="8"/>
  <c r="L97" i="8"/>
  <c r="N97" i="8" s="1"/>
  <c r="O97" i="8" s="1"/>
  <c r="I97" i="8"/>
  <c r="N96" i="8"/>
  <c r="O96" i="8" s="1"/>
  <c r="O95" i="8" s="1"/>
  <c r="N95" i="8" s="1"/>
  <c r="M95" i="8" s="1"/>
  <c r="L95" i="8" s="1"/>
  <c r="I96" i="8"/>
  <c r="I95" i="8" s="1"/>
  <c r="K95" i="8"/>
  <c r="J95" i="8"/>
  <c r="H95" i="8"/>
  <c r="G95" i="8"/>
  <c r="N93" i="8"/>
  <c r="O93" i="8" s="1"/>
  <c r="N92" i="8"/>
  <c r="O92" i="8" s="1"/>
  <c r="I92" i="8"/>
  <c r="I89" i="8"/>
  <c r="H89" i="8"/>
  <c r="N88" i="8"/>
  <c r="O88" i="8" s="1"/>
  <c r="I88" i="8"/>
  <c r="I87" i="8"/>
  <c r="H87" i="8"/>
  <c r="H84" i="8" s="1"/>
  <c r="O86" i="8"/>
  <c r="N86" i="8"/>
  <c r="I86" i="8"/>
  <c r="L85" i="8"/>
  <c r="N85" i="8" s="1"/>
  <c r="O85" i="8" s="1"/>
  <c r="I85" i="8"/>
  <c r="M84" i="8"/>
  <c r="K84" i="8"/>
  <c r="J84" i="8"/>
  <c r="I84" i="8"/>
  <c r="G84" i="8"/>
  <c r="M83" i="8"/>
  <c r="L83" i="8" s="1"/>
  <c r="K83" i="8"/>
  <c r="J83" i="8"/>
  <c r="I83" i="8" s="1"/>
  <c r="H83" i="8"/>
  <c r="N108" i="8" l="1"/>
  <c r="I118" i="8"/>
  <c r="O125" i="8"/>
  <c r="N125" i="8" s="1"/>
  <c r="L84" i="8"/>
  <c r="N104" i="8"/>
  <c r="O104" i="8" s="1"/>
  <c r="I106" i="8"/>
  <c r="N111" i="8"/>
  <c r="I99" i="8"/>
  <c r="I91" i="8" s="1"/>
  <c r="H91" i="8" s="1"/>
  <c r="H99" i="8"/>
  <c r="H13" i="11"/>
  <c r="L14" i="10"/>
  <c r="M13" i="10"/>
  <c r="N106" i="8"/>
  <c r="M106" i="8" s="1"/>
  <c r="L106" i="8" s="1"/>
  <c r="K106" i="8" s="1"/>
  <c r="J106" i="8" s="1"/>
  <c r="O108" i="8"/>
  <c r="O106" i="8" s="1"/>
  <c r="O99" i="8"/>
  <c r="O91" i="8" s="1"/>
  <c r="O124" i="8"/>
  <c r="N124" i="8" s="1"/>
  <c r="M124" i="8" s="1"/>
  <c r="G83" i="8"/>
  <c r="N91" i="8"/>
  <c r="M91" i="8" s="1"/>
  <c r="N99" i="8"/>
  <c r="M99" i="8" s="1"/>
  <c r="L99" i="8" s="1"/>
  <c r="K99" i="8" s="1"/>
  <c r="J99" i="8" s="1"/>
  <c r="J91" i="8" s="1"/>
  <c r="G111" i="8"/>
  <c r="N81" i="8"/>
  <c r="L80" i="8"/>
  <c r="L78" i="8" s="1"/>
  <c r="K80" i="8"/>
  <c r="I80" i="8"/>
  <c r="L79" i="8"/>
  <c r="I79" i="8"/>
  <c r="M78" i="8"/>
  <c r="K78" i="8"/>
  <c r="J78" i="8"/>
  <c r="H78" i="8"/>
  <c r="G78" i="8"/>
  <c r="I78" i="8" l="1"/>
  <c r="N80" i="8"/>
  <c r="K91" i="8"/>
  <c r="K14" i="10"/>
  <c r="L13" i="10"/>
  <c r="L12" i="10" s="1"/>
  <c r="O80" i="8"/>
  <c r="L124" i="8"/>
  <c r="M110" i="8"/>
  <c r="L91" i="8"/>
  <c r="N75" i="8"/>
  <c r="O75" i="8" s="1"/>
  <c r="I75" i="8"/>
  <c r="N74" i="8"/>
  <c r="O74" i="8" s="1"/>
  <c r="I74" i="8"/>
  <c r="N73" i="8"/>
  <c r="O73" i="8" s="1"/>
  <c r="I73" i="8"/>
  <c r="M72" i="8"/>
  <c r="L72" i="8"/>
  <c r="K72" i="8"/>
  <c r="J72" i="8"/>
  <c r="J69" i="8" s="1"/>
  <c r="H72" i="8"/>
  <c r="G72" i="8"/>
  <c r="M70" i="8"/>
  <c r="L70" i="8"/>
  <c r="L69" i="8" s="1"/>
  <c r="K70" i="8"/>
  <c r="J70" i="8"/>
  <c r="I70" i="8"/>
  <c r="H70" i="8"/>
  <c r="H69" i="8"/>
  <c r="G69" i="8"/>
  <c r="O68" i="8"/>
  <c r="I68" i="8"/>
  <c r="O67" i="8"/>
  <c r="N67" i="8"/>
  <c r="I67" i="8"/>
  <c r="M66" i="8"/>
  <c r="L66" i="8"/>
  <c r="K66" i="8"/>
  <c r="J66" i="8"/>
  <c r="I66" i="8"/>
  <c r="H66" i="8"/>
  <c r="H65" i="8" s="1"/>
  <c r="G65" i="8"/>
  <c r="O64" i="8"/>
  <c r="I64" i="8"/>
  <c r="N63" i="8"/>
  <c r="O63" i="8" s="1"/>
  <c r="I63" i="8"/>
  <c r="L62" i="8"/>
  <c r="N62" i="8" s="1"/>
  <c r="K62" i="8"/>
  <c r="I62" i="8"/>
  <c r="I61" i="8" s="1"/>
  <c r="M61" i="8"/>
  <c r="K61" i="8"/>
  <c r="J61" i="8"/>
  <c r="H61" i="8"/>
  <c r="G61" i="8"/>
  <c r="N59" i="8"/>
  <c r="O59" i="8" s="1"/>
  <c r="I59" i="8"/>
  <c r="O58" i="8"/>
  <c r="N58" i="8"/>
  <c r="I58" i="8"/>
  <c r="I57" i="8" s="1"/>
  <c r="N57" i="8"/>
  <c r="M57" i="8"/>
  <c r="L57" i="8"/>
  <c r="K57" i="8"/>
  <c r="J57" i="8"/>
  <c r="H57" i="8"/>
  <c r="G57" i="8"/>
  <c r="N55" i="8"/>
  <c r="N54" i="8" s="1"/>
  <c r="I55" i="8"/>
  <c r="M54" i="8"/>
  <c r="L54" i="8"/>
  <c r="K54" i="8"/>
  <c r="J54" i="8"/>
  <c r="H54" i="8"/>
  <c r="G54" i="8"/>
  <c r="N52" i="8"/>
  <c r="O52" i="8" s="1"/>
  <c r="I52" i="8"/>
  <c r="N51" i="8"/>
  <c r="O51" i="8" s="1"/>
  <c r="K69" i="8" l="1"/>
  <c r="O72" i="8"/>
  <c r="O55" i="8"/>
  <c r="O54" i="8" s="1"/>
  <c r="N66" i="8"/>
  <c r="I72" i="8"/>
  <c r="J14" i="10"/>
  <c r="I14" i="10" s="1"/>
  <c r="I13" i="10" s="1"/>
  <c r="K13" i="10"/>
  <c r="N61" i="8"/>
  <c r="O62" i="8"/>
  <c r="O61" i="8" s="1"/>
  <c r="O66" i="8"/>
  <c r="O65" i="8" s="1"/>
  <c r="N65" i="8"/>
  <c r="M65" i="8" s="1"/>
  <c r="L65" i="8" s="1"/>
  <c r="K65" i="8" s="1"/>
  <c r="J65" i="8" s="1"/>
  <c r="I65" i="8" s="1"/>
  <c r="I69" i="8"/>
  <c r="O57" i="8"/>
  <c r="N72" i="8"/>
  <c r="K124" i="8"/>
  <c r="L110" i="8"/>
  <c r="N70" i="8"/>
  <c r="O70" i="8" s="1"/>
  <c r="O69" i="8" s="1"/>
  <c r="N69" i="8" s="1"/>
  <c r="M69" i="8" s="1"/>
  <c r="I54" i="8"/>
  <c r="L61" i="8"/>
  <c r="M50" i="8"/>
  <c r="L50" i="8"/>
  <c r="K50" i="8"/>
  <c r="K49" i="8" s="1"/>
  <c r="J50" i="8"/>
  <c r="J49" i="8" s="1"/>
  <c r="I50" i="8"/>
  <c r="H50" i="8"/>
  <c r="L49" i="8"/>
  <c r="H49" i="8"/>
  <c r="G49" i="8" s="1"/>
  <c r="I49" i="8" l="1"/>
  <c r="J13" i="10"/>
  <c r="K12" i="10"/>
  <c r="N50" i="8"/>
  <c r="J124" i="8"/>
  <c r="K110" i="8"/>
  <c r="L48" i="8"/>
  <c r="K48" i="8"/>
  <c r="J12" i="10" l="1"/>
  <c r="I12" i="10" s="1"/>
  <c r="H12" i="10" s="1"/>
  <c r="G12" i="10" s="1"/>
  <c r="O50" i="8"/>
  <c r="O49" i="8" s="1"/>
  <c r="N49" i="8"/>
  <c r="I124" i="8"/>
  <c r="J110" i="8"/>
  <c r="J48" i="8"/>
  <c r="I48" i="8" s="1"/>
  <c r="H48" i="8"/>
  <c r="G48" i="8"/>
  <c r="O46" i="8"/>
  <c r="N46" i="8"/>
  <c r="I46" i="8"/>
  <c r="N45" i="8"/>
  <c r="O45" i="8" s="1"/>
  <c r="I45" i="8"/>
  <c r="L44" i="8"/>
  <c r="N44" i="8" s="1"/>
  <c r="O44" i="8" s="1"/>
  <c r="I44" i="8"/>
  <c r="M43" i="8"/>
  <c r="K43" i="8"/>
  <c r="J43" i="8"/>
  <c r="H43" i="8"/>
  <c r="G43" i="8"/>
  <c r="H41" i="8"/>
  <c r="O43" i="8" l="1"/>
  <c r="N43" i="8" s="1"/>
  <c r="H124" i="8"/>
  <c r="G124" i="8" s="1"/>
  <c r="G110" i="8" s="1"/>
  <c r="I43" i="8"/>
  <c r="M49" i="8"/>
  <c r="L43" i="8"/>
  <c r="H40" i="8"/>
  <c r="I40" i="8" s="1"/>
  <c r="M39" i="8"/>
  <c r="L39" i="8"/>
  <c r="G39" i="8"/>
  <c r="O35" i="8"/>
  <c r="N35" i="8"/>
  <c r="I35" i="8"/>
  <c r="N34" i="8"/>
  <c r="N33" i="8"/>
  <c r="O32" i="8" s="1"/>
  <c r="N32" i="8"/>
  <c r="M32" i="8"/>
  <c r="L32" i="8"/>
  <c r="K32" i="8"/>
  <c r="J32" i="8"/>
  <c r="H32" i="8"/>
  <c r="G32" i="8"/>
  <c r="K31" i="8"/>
  <c r="J31" i="8" s="1"/>
  <c r="N28" i="8"/>
  <c r="N27" i="8"/>
  <c r="N26" i="8"/>
  <c r="O25" i="8"/>
  <c r="M25" i="8"/>
  <c r="L25" i="8"/>
  <c r="K25" i="8"/>
  <c r="J25" i="8"/>
  <c r="I25" i="8"/>
  <c r="H25" i="8"/>
  <c r="G25" i="8"/>
  <c r="O23" i="8"/>
  <c r="N23" i="8"/>
  <c r="N22" i="8" s="1"/>
  <c r="I23" i="8"/>
  <c r="M22" i="8"/>
  <c r="L22" i="8"/>
  <c r="K22" i="8"/>
  <c r="J22" i="8"/>
  <c r="H22" i="8"/>
  <c r="G22" i="8"/>
  <c r="N20" i="8"/>
  <c r="O20" i="8" s="1"/>
  <c r="I20" i="8"/>
  <c r="N19" i="8"/>
  <c r="N25" i="8" l="1"/>
  <c r="I32" i="8"/>
  <c r="I31" i="8" s="1"/>
  <c r="H31" i="8" s="1"/>
  <c r="G31" i="8" s="1"/>
  <c r="I22" i="8"/>
  <c r="J40" i="8"/>
  <c r="H39" i="8"/>
  <c r="O22" i="8"/>
  <c r="O31" i="8"/>
  <c r="N31" i="8" s="1"/>
  <c r="M31" i="8" s="1"/>
  <c r="L31" i="8" s="1"/>
  <c r="M18" i="8"/>
  <c r="M17" i="8" s="1"/>
  <c r="L18" i="8"/>
  <c r="L17" i="8" s="1"/>
  <c r="K17" i="8" s="1"/>
  <c r="K13" i="8" s="1"/>
  <c r="K18" i="8"/>
  <c r="J18" i="8"/>
  <c r="J17" i="8" s="1"/>
  <c r="I17" i="8" s="1"/>
  <c r="I18" i="8"/>
  <c r="H18" i="8"/>
  <c r="G17" i="8"/>
  <c r="M15" i="8"/>
  <c r="L15" i="8"/>
  <c r="K15" i="8"/>
  <c r="J15" i="8"/>
  <c r="J14" i="8" s="1"/>
  <c r="I15" i="8"/>
  <c r="H15" i="8"/>
  <c r="H14" i="8" s="1"/>
  <c r="M14" i="8"/>
  <c r="K14" i="8"/>
  <c r="G14" i="8"/>
  <c r="L14" i="8" l="1"/>
  <c r="G13" i="8"/>
  <c r="I14" i="8"/>
  <c r="I13" i="8" s="1"/>
  <c r="J13" i="8"/>
  <c r="J12" i="8" s="1"/>
  <c r="L13" i="8"/>
  <c r="N18" i="8"/>
  <c r="O18" i="8" s="1"/>
  <c r="O17" i="8" s="1"/>
  <c r="N17" i="8" s="1"/>
  <c r="N15" i="8"/>
  <c r="O15" i="8" s="1"/>
  <c r="O14" i="8" s="1"/>
  <c r="K40" i="8"/>
  <c r="H17" i="8"/>
  <c r="H13" i="8" s="1"/>
  <c r="M13" i="8"/>
  <c r="A5" i="8"/>
  <c r="N14" i="8" l="1"/>
  <c r="N13" i="8" s="1"/>
  <c r="O13" i="8"/>
  <c r="O12" i="8" s="1"/>
  <c r="I12" i="8"/>
  <c r="H12" i="8" s="1"/>
  <c r="G12" i="8" s="1"/>
  <c r="G154" i="8" s="1"/>
  <c r="N40" i="8"/>
  <c r="O40" i="8" s="1"/>
  <c r="M151" i="7"/>
  <c r="M150" i="7"/>
  <c r="M149" i="7" s="1"/>
  <c r="L149" i="7"/>
  <c r="K149" i="7"/>
  <c r="J149" i="7"/>
  <c r="I149" i="7"/>
  <c r="H149" i="7"/>
  <c r="G149" i="7"/>
  <c r="I147" i="7"/>
  <c r="H147" i="7"/>
  <c r="M147" i="7" s="1"/>
  <c r="M146" i="7"/>
  <c r="L145" i="7"/>
  <c r="K145" i="7"/>
  <c r="K138" i="7" s="1"/>
  <c r="J145" i="7"/>
  <c r="G145" i="7"/>
  <c r="I144" i="7"/>
  <c r="M143" i="7"/>
  <c r="M142" i="7"/>
  <c r="M141" i="7"/>
  <c r="M140" i="7"/>
  <c r="M139" i="7"/>
  <c r="L137" i="7"/>
  <c r="L136" i="7" s="1"/>
  <c r="G137" i="7"/>
  <c r="G136" i="7"/>
  <c r="M134" i="7"/>
  <c r="L133" i="7"/>
  <c r="J133" i="7"/>
  <c r="I133" i="7"/>
  <c r="H133" i="7"/>
  <c r="M133" i="7" s="1"/>
  <c r="M132" i="7"/>
  <c r="I132" i="7"/>
  <c r="M131" i="7"/>
  <c r="J131" i="7"/>
  <c r="I131" i="7"/>
  <c r="J130" i="7"/>
  <c r="M130" i="7" s="1"/>
  <c r="I130" i="7"/>
  <c r="M129" i="7"/>
  <c r="I129" i="7"/>
  <c r="K128" i="7"/>
  <c r="H128" i="7"/>
  <c r="G128" i="7"/>
  <c r="M126" i="7"/>
  <c r="M125" i="7" s="1"/>
  <c r="I126" i="7"/>
  <c r="L125" i="7"/>
  <c r="K125" i="7"/>
  <c r="J125" i="7"/>
  <c r="I125" i="7" s="1"/>
  <c r="H125" i="7"/>
  <c r="G125" i="7"/>
  <c r="M123" i="7"/>
  <c r="M122" i="7"/>
  <c r="I122" i="7"/>
  <c r="M121" i="7"/>
  <c r="M120" i="7"/>
  <c r="I120" i="7"/>
  <c r="M119" i="7"/>
  <c r="I119" i="7"/>
  <c r="L118" i="7"/>
  <c r="K118" i="7"/>
  <c r="J118" i="7"/>
  <c r="H118" i="7"/>
  <c r="G118" i="7"/>
  <c r="M116" i="7"/>
  <c r="M115" i="7" s="1"/>
  <c r="L115" i="7"/>
  <c r="K115" i="7"/>
  <c r="J115" i="7"/>
  <c r="I115" i="7"/>
  <c r="H115" i="7"/>
  <c r="M112" i="7"/>
  <c r="G112" i="7"/>
  <c r="L111" i="7"/>
  <c r="K111" i="7"/>
  <c r="J111" i="7"/>
  <c r="I111" i="7"/>
  <c r="H111" i="7"/>
  <c r="L108" i="7"/>
  <c r="K108" i="7"/>
  <c r="J108" i="7"/>
  <c r="I108" i="7"/>
  <c r="H108" i="7"/>
  <c r="M108" i="7" s="1"/>
  <c r="M106" i="7" s="1"/>
  <c r="L106" i="7" s="1"/>
  <c r="K106" i="7" s="1"/>
  <c r="J106" i="7" s="1"/>
  <c r="I107" i="7"/>
  <c r="I106" i="7" s="1"/>
  <c r="H106" i="7" s="1"/>
  <c r="G106" i="7"/>
  <c r="L104" i="7"/>
  <c r="K104" i="7"/>
  <c r="K99" i="7" s="1"/>
  <c r="J104" i="7"/>
  <c r="I104" i="7"/>
  <c r="H104" i="7"/>
  <c r="M103" i="7"/>
  <c r="I103" i="7"/>
  <c r="M102" i="7"/>
  <c r="I102" i="7"/>
  <c r="M101" i="7"/>
  <c r="I101" i="7"/>
  <c r="M100" i="7"/>
  <c r="I100" i="7"/>
  <c r="G99" i="7"/>
  <c r="M97" i="7"/>
  <c r="L97" i="7"/>
  <c r="I97" i="7"/>
  <c r="M96" i="7"/>
  <c r="I96" i="7"/>
  <c r="K95" i="7"/>
  <c r="J95" i="7"/>
  <c r="I95" i="7"/>
  <c r="H95" i="7"/>
  <c r="G95" i="7"/>
  <c r="M93" i="7"/>
  <c r="M92" i="7"/>
  <c r="I92" i="7"/>
  <c r="M118" i="7" l="1"/>
  <c r="I99" i="7"/>
  <c r="H99" i="7" s="1"/>
  <c r="M104" i="7"/>
  <c r="M99" i="7" s="1"/>
  <c r="L99" i="7" s="1"/>
  <c r="J128" i="7"/>
  <c r="I128" i="7" s="1"/>
  <c r="I118" i="7"/>
  <c r="N12" i="8"/>
  <c r="M12" i="8" s="1"/>
  <c r="L12" i="8" s="1"/>
  <c r="K12" i="8" s="1"/>
  <c r="K154" i="8" s="1"/>
  <c r="J154" i="8" s="1"/>
  <c r="M128" i="7"/>
  <c r="L128" i="7" s="1"/>
  <c r="M95" i="7"/>
  <c r="L95" i="7" s="1"/>
  <c r="M111" i="7"/>
  <c r="K137" i="7"/>
  <c r="I145" i="7"/>
  <c r="H145" i="7" s="1"/>
  <c r="J99" i="7"/>
  <c r="J91" i="7" s="1"/>
  <c r="M124" i="7"/>
  <c r="L124" i="7" s="1"/>
  <c r="K124" i="7" s="1"/>
  <c r="M145" i="7"/>
  <c r="G111" i="7"/>
  <c r="J138" i="7"/>
  <c r="L91" i="7"/>
  <c r="K91" i="7"/>
  <c r="I91" i="7"/>
  <c r="H91" i="7"/>
  <c r="G91" i="7"/>
  <c r="M89" i="7" s="1"/>
  <c r="I89" i="7"/>
  <c r="H89" i="7"/>
  <c r="M88" i="7"/>
  <c r="I88" i="7"/>
  <c r="I87" i="7"/>
  <c r="H87" i="7"/>
  <c r="H83" i="7" s="1"/>
  <c r="M86" i="7"/>
  <c r="I86" i="7"/>
  <c r="M85" i="7" s="1"/>
  <c r="L85" i="7"/>
  <c r="I85" i="7"/>
  <c r="I84" i="7" s="1"/>
  <c r="L84" i="7"/>
  <c r="K84" i="7"/>
  <c r="J84" i="7"/>
  <c r="G84" i="7"/>
  <c r="L83" i="7"/>
  <c r="K83" i="7"/>
  <c r="J83" i="7"/>
  <c r="I83" i="7"/>
  <c r="M81" i="7"/>
  <c r="L80" i="7"/>
  <c r="K80" i="7"/>
  <c r="I80" i="7"/>
  <c r="G83" i="7" l="1"/>
  <c r="M80" i="7"/>
  <c r="M78" i="7" s="1"/>
  <c r="J124" i="7"/>
  <c r="H84" i="7"/>
  <c r="M87" i="7"/>
  <c r="M83" i="7" s="1"/>
  <c r="J137" i="7"/>
  <c r="K136" i="7"/>
  <c r="K110" i="7" s="1"/>
  <c r="M91" i="7"/>
  <c r="L79" i="7"/>
  <c r="M79" i="7" s="1"/>
  <c r="I79" i="7"/>
  <c r="I78" i="7" s="1"/>
  <c r="K78" i="7"/>
  <c r="J78" i="7"/>
  <c r="H78" i="7"/>
  <c r="G78" i="7"/>
  <c r="M75" i="7"/>
  <c r="I75" i="7"/>
  <c r="M74" i="7"/>
  <c r="I74" i="7"/>
  <c r="M73" i="7"/>
  <c r="M72" i="7" s="1"/>
  <c r="I73" i="7"/>
  <c r="L72" i="7"/>
  <c r="K72" i="7"/>
  <c r="J72" i="7"/>
  <c r="H72" i="7"/>
  <c r="G72" i="7"/>
  <c r="L78" i="7" l="1"/>
  <c r="I72" i="7"/>
  <c r="I124" i="7"/>
  <c r="I137" i="7"/>
  <c r="J136" i="7"/>
  <c r="J110" i="7" s="1"/>
  <c r="M84" i="7"/>
  <c r="L70" i="7"/>
  <c r="L69" i="7" s="1"/>
  <c r="K70" i="7"/>
  <c r="J70" i="7"/>
  <c r="I70" i="7"/>
  <c r="H70" i="7"/>
  <c r="K69" i="7"/>
  <c r="J69" i="7"/>
  <c r="G69" i="7"/>
  <c r="I68" i="7"/>
  <c r="M67" i="7"/>
  <c r="I67" i="7"/>
  <c r="L66" i="7"/>
  <c r="K66" i="7"/>
  <c r="J66" i="7"/>
  <c r="I66" i="7"/>
  <c r="H66" i="7"/>
  <c r="G65" i="7"/>
  <c r="I64" i="7"/>
  <c r="M63" i="7"/>
  <c r="I63" i="7"/>
  <c r="L62" i="7"/>
  <c r="K62" i="7"/>
  <c r="K61" i="7" s="1"/>
  <c r="I62" i="7"/>
  <c r="J61" i="7"/>
  <c r="H61" i="7"/>
  <c r="G61" i="7"/>
  <c r="M59" i="7"/>
  <c r="I59" i="7"/>
  <c r="M58" i="7"/>
  <c r="M57" i="7" s="1"/>
  <c r="I58" i="7"/>
  <c r="M70" i="7" l="1"/>
  <c r="M69" i="7" s="1"/>
  <c r="M62" i="7"/>
  <c r="M61" i="7"/>
  <c r="L61" i="7" s="1"/>
  <c r="H65" i="7"/>
  <c r="I69" i="7"/>
  <c r="H124" i="7"/>
  <c r="H69" i="7"/>
  <c r="I61" i="7"/>
  <c r="M66" i="7"/>
  <c r="M65" i="7" s="1"/>
  <c r="L65" i="7" s="1"/>
  <c r="K65" i="7" s="1"/>
  <c r="J65" i="7" s="1"/>
  <c r="I65" i="7" s="1"/>
  <c r="L57" i="7"/>
  <c r="K57" i="7"/>
  <c r="J57" i="7"/>
  <c r="G124" i="7" l="1"/>
  <c r="I57" i="7"/>
  <c r="H57" i="7"/>
  <c r="G57" i="7"/>
  <c r="M55" i="7"/>
  <c r="I55" i="7"/>
  <c r="L54" i="7"/>
  <c r="K54" i="7"/>
  <c r="J54" i="7"/>
  <c r="H54" i="7"/>
  <c r="G54" i="7"/>
  <c r="M52" i="7"/>
  <c r="I52" i="7"/>
  <c r="L50" i="7"/>
  <c r="K50" i="7"/>
  <c r="K49" i="7" s="1"/>
  <c r="J50" i="7"/>
  <c r="M50" i="7" s="1"/>
  <c r="I50" i="7"/>
  <c r="H50" i="7"/>
  <c r="I54" i="7" l="1"/>
  <c r="I49" i="7" s="1"/>
  <c r="H49" i="7" s="1"/>
  <c r="J49" i="7"/>
  <c r="J48" i="7" s="1"/>
  <c r="I48" i="7" s="1"/>
  <c r="M54" i="7"/>
  <c r="M49" i="7" s="1"/>
  <c r="K48" i="7"/>
  <c r="M46" i="7"/>
  <c r="I46" i="7"/>
  <c r="M45" i="7"/>
  <c r="I45" i="7"/>
  <c r="M44" i="7"/>
  <c r="M43" i="7" s="1"/>
  <c r="L43" i="7" s="1"/>
  <c r="L44" i="7"/>
  <c r="I44" i="7"/>
  <c r="K43" i="7"/>
  <c r="J43" i="7"/>
  <c r="H43" i="7"/>
  <c r="G43" i="7"/>
  <c r="H41" i="7"/>
  <c r="H40" i="7"/>
  <c r="L39" i="7"/>
  <c r="G39" i="7"/>
  <c r="M35" i="7"/>
  <c r="I35" i="7"/>
  <c r="M34" i="7"/>
  <c r="M33" i="7"/>
  <c r="L32" i="7"/>
  <c r="K32" i="7"/>
  <c r="J32" i="7"/>
  <c r="H32" i="7"/>
  <c r="G32" i="7"/>
  <c r="M28" i="7"/>
  <c r="M27" i="7"/>
  <c r="M26" i="7"/>
  <c r="L25" i="7"/>
  <c r="K25" i="7"/>
  <c r="J25" i="7"/>
  <c r="I25" i="7"/>
  <c r="H25" i="7"/>
  <c r="G25" i="7"/>
  <c r="G13" i="7" s="1"/>
  <c r="M23" i="7"/>
  <c r="I23" i="7"/>
  <c r="L22" i="7"/>
  <c r="K22" i="7"/>
  <c r="J22" i="7"/>
  <c r="H22" i="7"/>
  <c r="G22" i="7"/>
  <c r="M20" i="7"/>
  <c r="I20" i="7"/>
  <c r="M19" i="7"/>
  <c r="L18" i="7"/>
  <c r="K18" i="7"/>
  <c r="J18" i="7"/>
  <c r="I18" i="7"/>
  <c r="H18" i="7"/>
  <c r="H17" i="7"/>
  <c r="H13" i="7" s="1"/>
  <c r="G17" i="7"/>
  <c r="L15" i="7"/>
  <c r="K15" i="7"/>
  <c r="J15" i="7"/>
  <c r="I15" i="7"/>
  <c r="H15" i="7"/>
  <c r="L14" i="7"/>
  <c r="K14" i="7" s="1"/>
  <c r="J14" i="7"/>
  <c r="I14" i="7" s="1"/>
  <c r="H14" i="7"/>
  <c r="G14" i="7"/>
  <c r="A5" i="7"/>
  <c r="G49" i="7" l="1"/>
  <c r="H48" i="7"/>
  <c r="M15" i="7"/>
  <c r="M25" i="7"/>
  <c r="M32" i="7"/>
  <c r="M18" i="7"/>
  <c r="I22" i="7"/>
  <c r="I32" i="7"/>
  <c r="L49" i="7"/>
  <c r="M48" i="7"/>
  <c r="M14" i="7"/>
  <c r="M17" i="7"/>
  <c r="L17" i="7" s="1"/>
  <c r="K17" i="7" s="1"/>
  <c r="J17" i="7" s="1"/>
  <c r="H39" i="7"/>
  <c r="M22" i="7"/>
  <c r="M31" i="7"/>
  <c r="L31" i="7" s="1"/>
  <c r="K31" i="7" s="1"/>
  <c r="J31" i="7" s="1"/>
  <c r="I31" i="7" s="1"/>
  <c r="H31" i="7" s="1"/>
  <c r="G31" i="7" s="1"/>
  <c r="I41" i="7"/>
  <c r="I43" i="7"/>
  <c r="L152" i="6"/>
  <c r="L151" i="6"/>
  <c r="L150" i="6" s="1"/>
  <c r="K150" i="6"/>
  <c r="J150" i="6"/>
  <c r="I150" i="6"/>
  <c r="H150" i="6"/>
  <c r="G150" i="6"/>
  <c r="I148" i="6"/>
  <c r="H148" i="6"/>
  <c r="L147" i="6"/>
  <c r="L146" i="6" s="1"/>
  <c r="K146" i="6"/>
  <c r="J146" i="6"/>
  <c r="G146" i="6"/>
  <c r="G137" i="6" s="1"/>
  <c r="I145" i="6"/>
  <c r="L144" i="6"/>
  <c r="L143" i="6"/>
  <c r="L142" i="6"/>
  <c r="L141" i="6"/>
  <c r="L140" i="6"/>
  <c r="G138" i="6"/>
  <c r="L135" i="6"/>
  <c r="J134" i="6"/>
  <c r="I134" i="6"/>
  <c r="H134" i="6"/>
  <c r="L134" i="6" s="1"/>
  <c r="L133" i="6"/>
  <c r="I133" i="6"/>
  <c r="L132" i="6" s="1"/>
  <c r="J132" i="6"/>
  <c r="I132" i="6"/>
  <c r="J131" i="6"/>
  <c r="J129" i="6" s="1"/>
  <c r="I129" i="6" s="1"/>
  <c r="I131" i="6"/>
  <c r="L130" i="6"/>
  <c r="I130" i="6"/>
  <c r="K129" i="6"/>
  <c r="H129" i="6"/>
  <c r="G129" i="6"/>
  <c r="L127" i="6"/>
  <c r="L126" i="6" s="1"/>
  <c r="I127" i="6"/>
  <c r="K126" i="6"/>
  <c r="J126" i="6"/>
  <c r="H126" i="6"/>
  <c r="G126" i="6"/>
  <c r="L124" i="6"/>
  <c r="L123" i="6"/>
  <c r="I123" i="6"/>
  <c r="L122" i="6"/>
  <c r="L121" i="6"/>
  <c r="I121" i="6"/>
  <c r="L120" i="6"/>
  <c r="L119" i="6" s="1"/>
  <c r="I120" i="6"/>
  <c r="K119" i="6"/>
  <c r="J119" i="6"/>
  <c r="H119" i="6"/>
  <c r="G119" i="6"/>
  <c r="L117" i="6"/>
  <c r="L116" i="6"/>
  <c r="K116" i="6"/>
  <c r="J116" i="6"/>
  <c r="I116" i="6"/>
  <c r="H116" i="6"/>
  <c r="I119" i="6" l="1"/>
  <c r="I126" i="6"/>
  <c r="L131" i="6"/>
  <c r="L13" i="7"/>
  <c r="G48" i="7"/>
  <c r="M13" i="7"/>
  <c r="M12" i="7" s="1"/>
  <c r="L48" i="7"/>
  <c r="I17" i="7"/>
  <c r="I13" i="7" s="1"/>
  <c r="J13" i="7"/>
  <c r="K13" i="7"/>
  <c r="L129" i="6"/>
  <c r="L125" i="6"/>
  <c r="K125" i="6" s="1"/>
  <c r="J125" i="6" s="1"/>
  <c r="I125" i="6" s="1"/>
  <c r="H125" i="6" s="1"/>
  <c r="G125" i="6" s="1"/>
  <c r="I146" i="6"/>
  <c r="H146" i="6" s="1"/>
  <c r="L113" i="6"/>
  <c r="L112" i="6" s="1"/>
  <c r="G113" i="6"/>
  <c r="K112" i="6"/>
  <c r="J112" i="6"/>
  <c r="I112" i="6"/>
  <c r="H112" i="6"/>
  <c r="K109" i="6"/>
  <c r="J109" i="6"/>
  <c r="I109" i="6"/>
  <c r="H109" i="6"/>
  <c r="H107" i="6" s="1"/>
  <c r="I108" i="6"/>
  <c r="I107" i="6" s="1"/>
  <c r="G107" i="6"/>
  <c r="K105" i="6"/>
  <c r="J105" i="6"/>
  <c r="I105" i="6"/>
  <c r="H105" i="6"/>
  <c r="L104" i="6"/>
  <c r="I104" i="6"/>
  <c r="L103" i="6"/>
  <c r="I103" i="6"/>
  <c r="L102" i="6"/>
  <c r="I102" i="6"/>
  <c r="L101" i="6"/>
  <c r="I101" i="6"/>
  <c r="H100" i="6"/>
  <c r="G100" i="6"/>
  <c r="I98" i="6"/>
  <c r="I96" i="6" s="1"/>
  <c r="L97" i="6"/>
  <c r="I97" i="6"/>
  <c r="L96" i="6"/>
  <c r="K96" i="6"/>
  <c r="J96" i="6"/>
  <c r="H96" i="6"/>
  <c r="G96" i="6"/>
  <c r="L94" i="6"/>
  <c r="L93" i="6"/>
  <c r="I93" i="6"/>
  <c r="L12" i="7" l="1"/>
  <c r="K12" i="7" s="1"/>
  <c r="J12" i="7" s="1"/>
  <c r="I12" i="7" s="1"/>
  <c r="H12" i="7" s="1"/>
  <c r="G12" i="7" s="1"/>
  <c r="I100" i="6"/>
  <c r="G112" i="6"/>
  <c r="L105" i="6"/>
  <c r="L100" i="6" s="1"/>
  <c r="I92" i="6"/>
  <c r="H92" i="6" s="1"/>
  <c r="G92" i="6" s="1"/>
  <c r="L90" i="6" s="1"/>
  <c r="I90" i="6"/>
  <c r="H90" i="6"/>
  <c r="L89" i="6"/>
  <c r="I89" i="6"/>
  <c r="L88" i="6" s="1"/>
  <c r="L85" i="6" s="1"/>
  <c r="I88" i="6"/>
  <c r="H88" i="6"/>
  <c r="L87" i="6"/>
  <c r="I87" i="6"/>
  <c r="L86" i="6"/>
  <c r="I86" i="6"/>
  <c r="K85" i="6"/>
  <c r="J85" i="6"/>
  <c r="H85" i="6"/>
  <c r="G85" i="6"/>
  <c r="K84" i="6"/>
  <c r="J84" i="6"/>
  <c r="I84" i="6"/>
  <c r="H84" i="6"/>
  <c r="L82" i="6"/>
  <c r="K81" i="6"/>
  <c r="L81" i="6" s="1"/>
  <c r="L79" i="6" s="1"/>
  <c r="I81" i="6"/>
  <c r="I80" i="6"/>
  <c r="J79" i="6"/>
  <c r="H79" i="6"/>
  <c r="G79" i="6"/>
  <c r="L76" i="6"/>
  <c r="I76" i="6"/>
  <c r="L75" i="6"/>
  <c r="I75" i="6"/>
  <c r="L74" i="6"/>
  <c r="L73" i="6" s="1"/>
  <c r="I74" i="6"/>
  <c r="K73" i="6"/>
  <c r="J73" i="6"/>
  <c r="H73" i="6"/>
  <c r="G73" i="6"/>
  <c r="L84" i="6" l="1"/>
  <c r="I79" i="6"/>
  <c r="I73" i="6"/>
  <c r="I85" i="6"/>
  <c r="K100" i="6"/>
  <c r="J100" i="6" s="1"/>
  <c r="J92" i="6" s="1"/>
  <c r="L92" i="6"/>
  <c r="K79" i="6"/>
  <c r="G84" i="6"/>
  <c r="K71" i="6"/>
  <c r="J71" i="6"/>
  <c r="I71" i="6"/>
  <c r="H71" i="6"/>
  <c r="J70" i="6"/>
  <c r="G70" i="6"/>
  <c r="I69" i="6"/>
  <c r="L68" i="6"/>
  <c r="I68" i="6"/>
  <c r="K67" i="6"/>
  <c r="K66" i="6" s="1"/>
  <c r="J67" i="6"/>
  <c r="I67" i="6"/>
  <c r="H67" i="6"/>
  <c r="H66" i="6" s="1"/>
  <c r="G66" i="6"/>
  <c r="I65" i="6"/>
  <c r="I64" i="6"/>
  <c r="K63" i="6"/>
  <c r="L63" i="6" s="1"/>
  <c r="I63" i="6"/>
  <c r="J66" i="6" l="1"/>
  <c r="I66" i="6" s="1"/>
  <c r="L67" i="6"/>
  <c r="L66" i="6" s="1"/>
  <c r="L71" i="6"/>
  <c r="L70" i="6" s="1"/>
  <c r="K70" i="6" s="1"/>
  <c r="I70" i="6"/>
  <c r="L62" i="6"/>
  <c r="K92" i="6"/>
  <c r="H70" i="6"/>
  <c r="K62" i="6"/>
  <c r="J62" i="6"/>
  <c r="I62" i="6"/>
  <c r="H62" i="6"/>
  <c r="G62" i="6"/>
  <c r="L60" i="6"/>
  <c r="I60" i="6"/>
  <c r="I58" i="6" s="1"/>
  <c r="L59" i="6"/>
  <c r="L58" i="6" s="1"/>
  <c r="I59" i="6"/>
  <c r="K58" i="6"/>
  <c r="J58" i="6"/>
  <c r="H58" i="6"/>
  <c r="G58" i="6"/>
  <c r="L56" i="6"/>
  <c r="I56" i="6"/>
  <c r="K55" i="6"/>
  <c r="J55" i="6"/>
  <c r="H55" i="6"/>
  <c r="G55" i="6"/>
  <c r="L53" i="6"/>
  <c r="I53" i="6"/>
  <c r="K51" i="6"/>
  <c r="J51" i="6"/>
  <c r="I51" i="6"/>
  <c r="H51" i="6"/>
  <c r="H50" i="6"/>
  <c r="G50" i="6" s="1"/>
  <c r="L51" i="6" l="1"/>
  <c r="I55" i="6"/>
  <c r="I50" i="6" s="1"/>
  <c r="L55" i="6"/>
  <c r="L50" i="6" s="1"/>
  <c r="K50" i="6" s="1"/>
  <c r="J50" i="6" s="1"/>
  <c r="H49" i="6"/>
  <c r="G49" i="6"/>
  <c r="L47" i="6"/>
  <c r="I47" i="6"/>
  <c r="L46" i="6"/>
  <c r="I46" i="6"/>
  <c r="L45" i="6"/>
  <c r="L44" i="6" s="1"/>
  <c r="I45" i="6"/>
  <c r="K44" i="6"/>
  <c r="J44" i="6"/>
  <c r="H44" i="6"/>
  <c r="G44" i="6"/>
  <c r="H42" i="6"/>
  <c r="I42" i="6" s="1"/>
  <c r="H41" i="6"/>
  <c r="H40" i="6" s="1"/>
  <c r="G40" i="6"/>
  <c r="L36" i="6"/>
  <c r="I36" i="6"/>
  <c r="L35" i="6"/>
  <c r="L34" i="6"/>
  <c r="L33" i="6"/>
  <c r="K33" i="6"/>
  <c r="J33" i="6"/>
  <c r="H33" i="6"/>
  <c r="G33" i="6"/>
  <c r="L32" i="6" s="1"/>
  <c r="L29" i="6"/>
  <c r="L28" i="6"/>
  <c r="L27" i="6"/>
  <c r="K26" i="6"/>
  <c r="J26" i="6"/>
  <c r="I26" i="6"/>
  <c r="H26" i="6"/>
  <c r="G26" i="6"/>
  <c r="L24" i="6"/>
  <c r="L23" i="6" s="1"/>
  <c r="I24" i="6"/>
  <c r="K23" i="6"/>
  <c r="J23" i="6"/>
  <c r="I23" i="6" s="1"/>
  <c r="H23" i="6"/>
  <c r="G23" i="6"/>
  <c r="L21" i="6"/>
  <c r="I21" i="6"/>
  <c r="L20" i="6"/>
  <c r="K19" i="6"/>
  <c r="J19" i="6"/>
  <c r="I19" i="6"/>
  <c r="H19" i="6"/>
  <c r="H18" i="6" s="1"/>
  <c r="K18" i="6"/>
  <c r="G18" i="6"/>
  <c r="K16" i="6"/>
  <c r="K15" i="6" s="1"/>
  <c r="K14" i="6" s="1"/>
  <c r="J16" i="6"/>
  <c r="I16" i="6"/>
  <c r="H16" i="6"/>
  <c r="G15" i="6"/>
  <c r="G14" i="6" s="1"/>
  <c r="A5" i="6"/>
  <c r="L16" i="6" l="1"/>
  <c r="L15" i="6" s="1"/>
  <c r="K32" i="6"/>
  <c r="K13" i="6" s="1"/>
  <c r="I41" i="6"/>
  <c r="I40" i="6" s="1"/>
  <c r="L26" i="6"/>
  <c r="H15" i="6"/>
  <c r="H14" i="6" s="1"/>
  <c r="I33" i="6"/>
  <c r="J32" i="6"/>
  <c r="I32" i="6" s="1"/>
  <c r="H32" i="6" s="1"/>
  <c r="G32" i="6" s="1"/>
  <c r="L19" i="6"/>
  <c r="L18" i="6" s="1"/>
  <c r="J15" i="6"/>
  <c r="J18" i="6"/>
  <c r="I18" i="6" s="1"/>
  <c r="I44" i="6"/>
  <c r="K151" i="3"/>
  <c r="K150" i="3" s="1"/>
  <c r="J150" i="3"/>
  <c r="I150" i="3"/>
  <c r="H150" i="3"/>
  <c r="G150" i="3"/>
  <c r="I148" i="3"/>
  <c r="H148" i="3"/>
  <c r="K147" i="3"/>
  <c r="K146" i="3" s="1"/>
  <c r="J146" i="3"/>
  <c r="G146" i="3"/>
  <c r="I145" i="3"/>
  <c r="K142" i="3"/>
  <c r="K141" i="3"/>
  <c r="K140" i="3"/>
  <c r="G138" i="3"/>
  <c r="J134" i="3"/>
  <c r="I134" i="3"/>
  <c r="H134" i="3"/>
  <c r="K133" i="3"/>
  <c r="I133" i="3"/>
  <c r="J132" i="3"/>
  <c r="K132" i="3" s="1"/>
  <c r="I132" i="3"/>
  <c r="J131" i="3"/>
  <c r="K131" i="3" s="1"/>
  <c r="I131" i="3"/>
  <c r="K130" i="3"/>
  <c r="I130" i="3"/>
  <c r="G129" i="3"/>
  <c r="I127" i="3"/>
  <c r="K126" i="3"/>
  <c r="J126" i="3"/>
  <c r="I126" i="3" s="1"/>
  <c r="H126" i="3"/>
  <c r="G126" i="3"/>
  <c r="K125" i="3"/>
  <c r="I123" i="3"/>
  <c r="K122" i="3"/>
  <c r="K121" i="3"/>
  <c r="I121" i="3"/>
  <c r="I120" i="3"/>
  <c r="K119" i="3" s="1"/>
  <c r="J119" i="3"/>
  <c r="H119" i="3"/>
  <c r="G119" i="3"/>
  <c r="K116" i="3"/>
  <c r="J116" i="3"/>
  <c r="I116" i="3"/>
  <c r="H116" i="3"/>
  <c r="K113" i="3"/>
  <c r="K112" i="3" s="1"/>
  <c r="G113" i="3"/>
  <c r="J112" i="3"/>
  <c r="I112" i="3"/>
  <c r="H112" i="3"/>
  <c r="G112" i="3" s="1"/>
  <c r="J109" i="3"/>
  <c r="I109" i="3"/>
  <c r="H109" i="3"/>
  <c r="K109" i="3" s="1"/>
  <c r="K107" i="3" s="1"/>
  <c r="I108" i="3"/>
  <c r="I107" i="3" s="1"/>
  <c r="H107" i="3" s="1"/>
  <c r="J107" i="3"/>
  <c r="G107" i="3"/>
  <c r="J105" i="3"/>
  <c r="J100" i="3" s="1"/>
  <c r="J92" i="3" s="1"/>
  <c r="I105" i="3"/>
  <c r="H105" i="3"/>
  <c r="K104" i="3"/>
  <c r="I104" i="3"/>
  <c r="K103" i="3"/>
  <c r="I103" i="3"/>
  <c r="K102" i="3"/>
  <c r="I102" i="3"/>
  <c r="K101" i="3"/>
  <c r="I101" i="3"/>
  <c r="I100" i="3"/>
  <c r="H100" i="3" s="1"/>
  <c r="G100" i="3"/>
  <c r="I98" i="3"/>
  <c r="K97" i="3"/>
  <c r="I97" i="3"/>
  <c r="K96" i="3" s="1"/>
  <c r="J96" i="3"/>
  <c r="H96" i="3"/>
  <c r="G96" i="3"/>
  <c r="K94" i="3"/>
  <c r="K93" i="3"/>
  <c r="I93" i="3"/>
  <c r="H92" i="3"/>
  <c r="G92" i="3" s="1"/>
  <c r="I90" i="3"/>
  <c r="H90" i="3"/>
  <c r="K90" i="3" s="1"/>
  <c r="I89" i="3"/>
  <c r="I88" i="3"/>
  <c r="H88" i="3"/>
  <c r="I87" i="3"/>
  <c r="I86" i="3"/>
  <c r="I84" i="3" s="1"/>
  <c r="J85" i="3"/>
  <c r="H85" i="3"/>
  <c r="G85" i="3"/>
  <c r="J84" i="3"/>
  <c r="H84" i="3"/>
  <c r="G84" i="3" s="1"/>
  <c r="K81" i="3"/>
  <c r="I81" i="3"/>
  <c r="I80" i="3"/>
  <c r="I79" i="3" s="1"/>
  <c r="K79" i="3"/>
  <c r="J79" i="3"/>
  <c r="H79" i="3"/>
  <c r="G79" i="3"/>
  <c r="K76" i="3"/>
  <c r="I76" i="3"/>
  <c r="I75" i="3"/>
  <c r="I74" i="3"/>
  <c r="I73" i="3" s="1"/>
  <c r="K73" i="3"/>
  <c r="J73" i="3"/>
  <c r="H73" i="3"/>
  <c r="G73" i="3"/>
  <c r="J71" i="3"/>
  <c r="I71" i="3"/>
  <c r="H71" i="3"/>
  <c r="K71" i="3" s="1"/>
  <c r="K70" i="3" s="1"/>
  <c r="J70" i="3"/>
  <c r="H70" i="3"/>
  <c r="G70" i="3"/>
  <c r="I69" i="3"/>
  <c r="K68" i="3"/>
  <c r="I68" i="3"/>
  <c r="J67" i="3"/>
  <c r="I67" i="3"/>
  <c r="H67" i="3"/>
  <c r="K67" i="3" s="1"/>
  <c r="K66" i="3" s="1"/>
  <c r="J66" i="3"/>
  <c r="I66" i="3" s="1"/>
  <c r="H66" i="3" s="1"/>
  <c r="G66" i="3"/>
  <c r="I65" i="3"/>
  <c r="I64" i="3"/>
  <c r="I63" i="3"/>
  <c r="I62" i="3" s="1"/>
  <c r="K62" i="3"/>
  <c r="J62" i="3"/>
  <c r="H62" i="3"/>
  <c r="G62" i="3"/>
  <c r="K60" i="3"/>
  <c r="I60" i="3"/>
  <c r="K59" i="3"/>
  <c r="K58" i="3" s="1"/>
  <c r="I59" i="3"/>
  <c r="I58" i="3" s="1"/>
  <c r="J58" i="3"/>
  <c r="H58" i="3"/>
  <c r="G58" i="3"/>
  <c r="K56" i="3"/>
  <c r="K55" i="3" s="1"/>
  <c r="I56" i="3"/>
  <c r="J55" i="3"/>
  <c r="I55" i="3" s="1"/>
  <c r="H55" i="3"/>
  <c r="G55" i="3"/>
  <c r="I53" i="3"/>
  <c r="J51" i="3"/>
  <c r="I51" i="3"/>
  <c r="I50" i="3" s="1"/>
  <c r="H50" i="3" s="1"/>
  <c r="H51" i="3"/>
  <c r="K47" i="3"/>
  <c r="I47" i="3"/>
  <c r="K46" i="3"/>
  <c r="I46" i="3"/>
  <c r="K45" i="3"/>
  <c r="K44" i="3" s="1"/>
  <c r="I45" i="3"/>
  <c r="J44" i="3"/>
  <c r="I44" i="3" s="1"/>
  <c r="H44" i="3"/>
  <c r="G44" i="3"/>
  <c r="I42" i="3"/>
  <c r="H42" i="3"/>
  <c r="I41" i="3"/>
  <c r="H41" i="3"/>
  <c r="K40" i="3"/>
  <c r="J40" i="3"/>
  <c r="H40" i="3"/>
  <c r="G40" i="3"/>
  <c r="K36" i="3"/>
  <c r="I36" i="3"/>
  <c r="K35" i="3"/>
  <c r="K34" i="3"/>
  <c r="K33" i="3" s="1"/>
  <c r="J33" i="3"/>
  <c r="I33" i="3" s="1"/>
  <c r="H33" i="3"/>
  <c r="G33" i="3"/>
  <c r="K32" i="3" s="1"/>
  <c r="J32" i="3" s="1"/>
  <c r="I32" i="3" s="1"/>
  <c r="H32" i="3" s="1"/>
  <c r="G32" i="3" s="1"/>
  <c r="K29" i="3"/>
  <c r="K28" i="3"/>
  <c r="K27" i="3"/>
  <c r="J26" i="3"/>
  <c r="I26" i="3"/>
  <c r="H26" i="3"/>
  <c r="G26" i="3"/>
  <c r="K24" i="3"/>
  <c r="K23" i="3" s="1"/>
  <c r="I24" i="3"/>
  <c r="J23" i="3"/>
  <c r="H23" i="3"/>
  <c r="G23" i="3"/>
  <c r="K21" i="3"/>
  <c r="I21" i="3"/>
  <c r="K20" i="3"/>
  <c r="J19" i="3"/>
  <c r="J18" i="3" s="1"/>
  <c r="I19" i="3"/>
  <c r="H19" i="3"/>
  <c r="H18" i="3"/>
  <c r="G18" i="3"/>
  <c r="K16" i="3"/>
  <c r="J16" i="3"/>
  <c r="I16" i="3"/>
  <c r="H16" i="3"/>
  <c r="K15" i="3"/>
  <c r="J15" i="3" s="1"/>
  <c r="G15" i="3"/>
  <c r="G14" i="3"/>
  <c r="A5" i="3"/>
  <c r="I18" i="3" l="1"/>
  <c r="J14" i="3"/>
  <c r="G50" i="3"/>
  <c r="G49" i="3" s="1"/>
  <c r="H49" i="3"/>
  <c r="K26" i="3"/>
  <c r="I70" i="3"/>
  <c r="G137" i="3"/>
  <c r="K134" i="3" s="1"/>
  <c r="K129" i="3" s="1"/>
  <c r="J129" i="3" s="1"/>
  <c r="I129" i="3" s="1"/>
  <c r="H129" i="3" s="1"/>
  <c r="K19" i="3"/>
  <c r="K18" i="3" s="1"/>
  <c r="I40" i="3"/>
  <c r="K105" i="3"/>
  <c r="K100" i="3" s="1"/>
  <c r="K92" i="3" s="1"/>
  <c r="I15" i="3"/>
  <c r="H15" i="3" s="1"/>
  <c r="H14" i="3" s="1"/>
  <c r="K51" i="3"/>
  <c r="K50" i="3" s="1"/>
  <c r="K49" i="3" s="1"/>
  <c r="I15" i="6"/>
  <c r="I14" i="6" s="1"/>
  <c r="J14" i="6"/>
  <c r="J13" i="6" s="1"/>
  <c r="L14" i="6"/>
  <c r="L13" i="6" s="1"/>
  <c r="H13" i="6"/>
  <c r="G13" i="6" s="1"/>
  <c r="K85" i="3"/>
  <c r="K84" i="3"/>
  <c r="K14" i="3"/>
  <c r="K13" i="3" s="1"/>
  <c r="J13" i="3" s="1"/>
  <c r="J50" i="3"/>
  <c r="J49" i="3" s="1"/>
  <c r="I85" i="3"/>
  <c r="I23" i="3"/>
  <c r="I14" i="3" s="1"/>
  <c r="I119" i="3"/>
  <c r="I146" i="3"/>
  <c r="H146" i="3" s="1"/>
  <c r="I96" i="3"/>
  <c r="I92" i="3" s="1"/>
  <c r="I49" i="3" s="1"/>
  <c r="J125" i="3"/>
  <c r="I150" i="1"/>
  <c r="H150" i="1"/>
  <c r="G150" i="1"/>
  <c r="I148" i="1" s="1"/>
  <c r="H148" i="1"/>
  <c r="H146" i="1" s="1"/>
  <c r="G146" i="1"/>
  <c r="I145" i="1"/>
  <c r="G138" i="1"/>
  <c r="I134" i="1"/>
  <c r="H134" i="1"/>
  <c r="I133" i="1"/>
  <c r="I132" i="1"/>
  <c r="I131" i="1"/>
  <c r="I130" i="1"/>
  <c r="G129" i="1"/>
  <c r="I127" i="1"/>
  <c r="I126" i="1" s="1"/>
  <c r="H126" i="1"/>
  <c r="G126" i="1"/>
  <c r="I123" i="1"/>
  <c r="I121" i="1"/>
  <c r="I120" i="1"/>
  <c r="H119" i="1"/>
  <c r="G119" i="1"/>
  <c r="I116" i="1"/>
  <c r="H116" i="1"/>
  <c r="G113" i="1"/>
  <c r="I112" i="1"/>
  <c r="H112" i="1"/>
  <c r="I109" i="1"/>
  <c r="H109" i="1"/>
  <c r="I108" i="1"/>
  <c r="G107" i="1"/>
  <c r="I105" i="1"/>
  <c r="H105" i="1"/>
  <c r="H100" i="1" s="1"/>
  <c r="I104" i="1"/>
  <c r="I103" i="1"/>
  <c r="I102" i="1"/>
  <c r="I101" i="1"/>
  <c r="G100" i="1"/>
  <c r="I98" i="1"/>
  <c r="I97" i="1"/>
  <c r="H96" i="1"/>
  <c r="G96" i="1"/>
  <c r="I93" i="1"/>
  <c r="I13" i="6" l="1"/>
  <c r="I125" i="3"/>
  <c r="H125" i="3" s="1"/>
  <c r="G125" i="3" s="1"/>
  <c r="G111" i="3" s="1"/>
  <c r="I13" i="3"/>
  <c r="H13" i="3" s="1"/>
  <c r="G13" i="3" s="1"/>
  <c r="I119" i="1"/>
  <c r="I100" i="1"/>
  <c r="G137" i="1"/>
  <c r="I107" i="1"/>
  <c r="G112" i="1"/>
  <c r="I129" i="1"/>
  <c r="I96" i="1"/>
  <c r="H107" i="1"/>
  <c r="I125" i="1"/>
  <c r="H125" i="1" s="1"/>
  <c r="G125" i="1" s="1"/>
  <c r="H129" i="1"/>
  <c r="I146" i="1"/>
  <c r="I90" i="1"/>
  <c r="H90" i="1"/>
  <c r="I89" i="1"/>
  <c r="I88" i="1"/>
  <c r="H88" i="1"/>
  <c r="I87" i="1"/>
  <c r="I86" i="1"/>
  <c r="I85" i="1" s="1"/>
  <c r="G85" i="1"/>
  <c r="G155" i="3" l="1"/>
  <c r="H85" i="1"/>
  <c r="I84" i="1"/>
  <c r="I92" i="1"/>
  <c r="H92" i="1" s="1"/>
  <c r="G92" i="1"/>
  <c r="H84" i="1"/>
  <c r="G84" i="1" s="1"/>
  <c r="I81" i="1"/>
  <c r="I80" i="1"/>
  <c r="H79" i="1"/>
  <c r="G79" i="1"/>
  <c r="I76" i="1"/>
  <c r="I75" i="1"/>
  <c r="I74" i="1"/>
  <c r="H73" i="1"/>
  <c r="G73" i="1"/>
  <c r="I71" i="1"/>
  <c r="I73" i="1" l="1"/>
  <c r="I79" i="1"/>
  <c r="H71" i="1"/>
  <c r="I70" i="1" l="1"/>
  <c r="H70" i="1" s="1"/>
  <c r="G70" i="1"/>
  <c r="I69" i="1"/>
  <c r="I68" i="1"/>
  <c r="I67" i="1"/>
  <c r="H67" i="1"/>
  <c r="H66" i="1" s="1"/>
  <c r="G66" i="1"/>
  <c r="I66" i="1" s="1"/>
  <c r="I65" i="1"/>
  <c r="I64" i="1"/>
  <c r="I63" i="1"/>
  <c r="H62" i="1"/>
  <c r="G62" i="1"/>
  <c r="I60" i="1"/>
  <c r="I59" i="1"/>
  <c r="H58" i="1"/>
  <c r="G58" i="1"/>
  <c r="I56" i="1"/>
  <c r="I55" i="1" s="1"/>
  <c r="H55" i="1"/>
  <c r="G55" i="1"/>
  <c r="I53" i="1"/>
  <c r="I51" i="1"/>
  <c r="H51" i="1"/>
  <c r="H50" i="1" s="1"/>
  <c r="I47" i="1"/>
  <c r="I46" i="1"/>
  <c r="I45" i="1"/>
  <c r="I44" i="1" s="1"/>
  <c r="H44" i="1"/>
  <c r="G44" i="1"/>
  <c r="I42" i="1"/>
  <c r="H42" i="1"/>
  <c r="I41" i="1"/>
  <c r="H41" i="1"/>
  <c r="G40" i="1"/>
  <c r="I36" i="1"/>
  <c r="I33" i="1" s="1"/>
  <c r="H33" i="1"/>
  <c r="G33" i="1"/>
  <c r="I26" i="1"/>
  <c r="H26" i="1"/>
  <c r="G26" i="1"/>
  <c r="I24" i="1"/>
  <c r="I23" i="1" s="1"/>
  <c r="H23" i="1"/>
  <c r="G23" i="1"/>
  <c r="I21" i="1"/>
  <c r="I19" i="1"/>
  <c r="H19" i="1"/>
  <c r="H18" i="1" s="1"/>
  <c r="G18" i="1"/>
  <c r="I16" i="1"/>
  <c r="H16" i="1"/>
  <c r="H15" i="1" s="1"/>
  <c r="G15" i="1"/>
  <c r="A5" i="1"/>
  <c r="G50" i="1" l="1"/>
  <c r="H40" i="1"/>
  <c r="I40" i="1"/>
  <c r="G14" i="1"/>
  <c r="I32" i="1"/>
  <c r="H49" i="1"/>
  <c r="G49" i="1" s="1"/>
  <c r="H32" i="1"/>
  <c r="G32" i="1" s="1"/>
  <c r="I15" i="1"/>
  <c r="I14" i="1" s="1"/>
  <c r="H14" i="1" s="1"/>
  <c r="I18" i="1"/>
  <c r="I50" i="1"/>
  <c r="I58" i="1"/>
  <c r="I62" i="1"/>
  <c r="I49" i="1" l="1"/>
  <c r="I13" i="1"/>
  <c r="H13" i="1" s="1"/>
  <c r="G13" i="1" s="1"/>
  <c r="I138" i="1" l="1"/>
  <c r="G139" i="1"/>
  <c r="I139" i="1" s="1"/>
  <c r="H139" i="1"/>
  <c r="H138" i="1" s="1"/>
  <c r="H137" i="1" s="1"/>
  <c r="H111" i="1" s="1"/>
  <c r="H155" i="1" s="1"/>
  <c r="G111" i="1"/>
  <c r="G155" i="1" s="1"/>
  <c r="I137" i="1" l="1"/>
  <c r="I111" i="1" s="1"/>
  <c r="I155" i="1" s="1"/>
  <c r="J139" i="3"/>
  <c r="J138" i="3"/>
  <c r="J137" i="3" s="1"/>
  <c r="J111" i="3" s="1"/>
  <c r="J155" i="3" s="1"/>
  <c r="I138" i="3"/>
  <c r="I137" i="3" s="1"/>
  <c r="I111" i="3" s="1"/>
  <c r="I155" i="3" s="1"/>
  <c r="G139" i="3"/>
  <c r="I139" i="3" s="1"/>
  <c r="H139" i="3"/>
  <c r="H138" i="3" s="1"/>
  <c r="H137" i="3" s="1"/>
  <c r="H111" i="3" s="1"/>
  <c r="H155" i="3" s="1"/>
  <c r="K139" i="3"/>
  <c r="K138" i="3" s="1"/>
  <c r="K137" i="3" s="1"/>
  <c r="K111" i="3" s="1"/>
  <c r="K155" i="3" s="1"/>
  <c r="K107" i="6"/>
  <c r="K49" i="6" s="1"/>
  <c r="J107" i="6"/>
  <c r="J42" i="6"/>
  <c r="K42" i="6"/>
  <c r="L42" i="6" s="1"/>
  <c r="L109" i="6"/>
  <c r="L107" i="6"/>
  <c r="L49" i="6"/>
  <c r="J49" i="6"/>
  <c r="I49" i="6"/>
  <c r="J41" i="6"/>
  <c r="K41" i="6"/>
  <c r="K40" i="6" s="1"/>
  <c r="J40" i="6"/>
  <c r="H139" i="6"/>
  <c r="J139" i="6"/>
  <c r="K139" i="6"/>
  <c r="L139" i="6"/>
  <c r="L138" i="6" s="1"/>
  <c r="L137" i="6" s="1"/>
  <c r="L111" i="6" s="1"/>
  <c r="L155" i="6" s="1"/>
  <c r="J138" i="6"/>
  <c r="J137" i="6" s="1"/>
  <c r="J111" i="6" s="1"/>
  <c r="J155" i="6" s="1"/>
  <c r="K138" i="6"/>
  <c r="H138" i="6"/>
  <c r="H137" i="6" s="1"/>
  <c r="H111" i="6" s="1"/>
  <c r="H155" i="6" s="1"/>
  <c r="G111" i="6"/>
  <c r="I138" i="6"/>
  <c r="G139" i="6"/>
  <c r="I139" i="6" s="1"/>
  <c r="I137" i="6" s="1"/>
  <c r="I111" i="6" s="1"/>
  <c r="I155" i="6" s="1"/>
  <c r="G155" i="6"/>
  <c r="K137" i="6"/>
  <c r="K111" i="6" s="1"/>
  <c r="I40" i="7"/>
  <c r="J40" i="7" s="1"/>
  <c r="J41" i="7"/>
  <c r="K41" i="7" s="1"/>
  <c r="M41" i="7" s="1"/>
  <c r="H138" i="7"/>
  <c r="H137" i="7" s="1"/>
  <c r="H136" i="7" s="1"/>
  <c r="H110" i="7" s="1"/>
  <c r="H154" i="7" s="1"/>
  <c r="G138" i="7"/>
  <c r="I138" i="7" s="1"/>
  <c r="I136" i="7" s="1"/>
  <c r="I110" i="7" s="1"/>
  <c r="I154" i="7" s="1"/>
  <c r="G110" i="7"/>
  <c r="G154" i="7" s="1"/>
  <c r="L110" i="7"/>
  <c r="L154" i="7" s="1"/>
  <c r="K154" i="7"/>
  <c r="J154" i="7"/>
  <c r="G138" i="8"/>
  <c r="I138" i="8"/>
  <c r="I136" i="8" s="1"/>
  <c r="I110" i="8" s="1"/>
  <c r="I154" i="8" s="1"/>
  <c r="H138" i="8"/>
  <c r="H137" i="8" s="1"/>
  <c r="H136" i="8" s="1"/>
  <c r="H110" i="8" s="1"/>
  <c r="H154" i="8" s="1"/>
  <c r="I41" i="8"/>
  <c r="J41" i="8" s="1"/>
  <c r="I39" i="8"/>
  <c r="N87" i="8"/>
  <c r="N83" i="8" s="1"/>
  <c r="N89" i="8"/>
  <c r="N79" i="8"/>
  <c r="O79" i="8" s="1"/>
  <c r="O78" i="8" s="1"/>
  <c r="M48" i="8"/>
  <c r="O87" i="8"/>
  <c r="O83" i="8" s="1"/>
  <c r="O89" i="8"/>
  <c r="M154" i="8"/>
  <c r="L154" i="8"/>
  <c r="N130" i="8"/>
  <c r="N128" i="8" s="1"/>
  <c r="N131" i="8"/>
  <c r="N138" i="8"/>
  <c r="O138" i="8" s="1"/>
  <c r="O136" i="8" s="1"/>
  <c r="O130" i="8"/>
  <c r="O128" i="8" s="1"/>
  <c r="O110" i="8" s="1"/>
  <c r="O131" i="8"/>
  <c r="N84" i="8"/>
  <c r="O44" i="10"/>
  <c r="P44" i="10"/>
  <c r="P43" i="10" s="1"/>
  <c r="P12" i="10" s="1"/>
  <c r="O43" i="10"/>
  <c r="O12" i="10"/>
  <c r="N12" i="10"/>
  <c r="M12" i="10"/>
  <c r="I40" i="10"/>
  <c r="J40" i="10"/>
  <c r="H138" i="10"/>
  <c r="H137" i="10"/>
  <c r="H136" i="10"/>
  <c r="H110" i="10" s="1"/>
  <c r="H154" i="10" s="1"/>
  <c r="G110" i="10"/>
  <c r="I39" i="10"/>
  <c r="O85" i="10"/>
  <c r="O87" i="10"/>
  <c r="O89" i="10"/>
  <c r="P89" i="10" s="1"/>
  <c r="N48" i="10"/>
  <c r="P85" i="10"/>
  <c r="P84" i="10" s="1"/>
  <c r="P87" i="10"/>
  <c r="K138" i="10"/>
  <c r="K137" i="10" s="1"/>
  <c r="K136" i="10" s="1"/>
  <c r="K110" i="10" s="1"/>
  <c r="K154" i="10" s="1"/>
  <c r="G138" i="10"/>
  <c r="I138" i="10" s="1"/>
  <c r="I136" i="10" s="1"/>
  <c r="I110" i="10" s="1"/>
  <c r="I154" i="10" s="1"/>
  <c r="J138" i="10"/>
  <c r="J137" i="10" s="1"/>
  <c r="J136" i="10" s="1"/>
  <c r="J110" i="10" s="1"/>
  <c r="J154" i="10" s="1"/>
  <c r="P137" i="10"/>
  <c r="N110" i="10"/>
  <c r="N154" i="10" s="1"/>
  <c r="M154" i="10"/>
  <c r="L154" i="10"/>
  <c r="G154" i="10"/>
  <c r="P83" i="11"/>
  <c r="P85" i="11"/>
  <c r="P87" i="11"/>
  <c r="P81" i="11" s="1"/>
  <c r="P48" i="11" s="1"/>
  <c r="O48" i="11"/>
  <c r="O152" i="11" s="1"/>
  <c r="P44" i="11"/>
  <c r="Q44" i="11" s="1"/>
  <c r="Q43" i="11" s="1"/>
  <c r="Q12" i="11" s="1"/>
  <c r="O12" i="11"/>
  <c r="N12" i="11"/>
  <c r="M12" i="11"/>
  <c r="L12" i="11"/>
  <c r="K12" i="11"/>
  <c r="J12" i="11"/>
  <c r="I12" i="11"/>
  <c r="H12" i="11"/>
  <c r="Q83" i="11"/>
  <c r="Q85" i="11"/>
  <c r="K136" i="11"/>
  <c r="K135" i="11" s="1"/>
  <c r="K134" i="11" s="1"/>
  <c r="K108" i="11" s="1"/>
  <c r="K152" i="11" s="1"/>
  <c r="J136" i="11"/>
  <c r="J135" i="11" s="1"/>
  <c r="J134" i="11" s="1"/>
  <c r="J108" i="11" s="1"/>
  <c r="I135" i="11"/>
  <c r="G136" i="11"/>
  <c r="H136" i="11"/>
  <c r="H135" i="11" s="1"/>
  <c r="H134" i="11" s="1"/>
  <c r="H108" i="11" s="1"/>
  <c r="H152" i="11" s="1"/>
  <c r="N48" i="11"/>
  <c r="M152" i="11"/>
  <c r="L152" i="11"/>
  <c r="J41" i="11"/>
  <c r="K41" i="11" s="1"/>
  <c r="P41" i="11" s="1"/>
  <c r="Q41" i="11" s="1"/>
  <c r="J40" i="11"/>
  <c r="J39" i="11" s="1"/>
  <c r="P129" i="11"/>
  <c r="Q129" i="11" s="1"/>
  <c r="Q126" i="11" s="1"/>
  <c r="Q135" i="11"/>
  <c r="P136" i="11"/>
  <c r="P135" i="11" s="1"/>
  <c r="P134" i="11" s="1"/>
  <c r="G108" i="11"/>
  <c r="G152" i="11" s="1"/>
  <c r="O154" i="8" l="1"/>
  <c r="K40" i="7"/>
  <c r="K39" i="7" s="1"/>
  <c r="M40" i="7"/>
  <c r="M39" i="7" s="1"/>
  <c r="J39" i="7"/>
  <c r="K41" i="8"/>
  <c r="K39" i="8" s="1"/>
  <c r="J39" i="8"/>
  <c r="K155" i="6"/>
  <c r="N110" i="8"/>
  <c r="O48" i="8"/>
  <c r="M138" i="7"/>
  <c r="M137" i="7" s="1"/>
  <c r="M136" i="7" s="1"/>
  <c r="M110" i="7" s="1"/>
  <c r="M154" i="7" s="1"/>
  <c r="P108" i="11"/>
  <c r="P152" i="11" s="1"/>
  <c r="O83" i="10"/>
  <c r="O48" i="10" s="1"/>
  <c r="K40" i="10"/>
  <c r="K39" i="10" s="1"/>
  <c r="N137" i="8"/>
  <c r="N136" i="8" s="1"/>
  <c r="N78" i="8"/>
  <c r="N48" i="8" s="1"/>
  <c r="L41" i="6"/>
  <c r="L40" i="6" s="1"/>
  <c r="P126" i="11"/>
  <c r="J152" i="11"/>
  <c r="O84" i="10"/>
  <c r="P83" i="10"/>
  <c r="P48" i="10" s="1"/>
  <c r="J39" i="10"/>
  <c r="O138" i="10"/>
  <c r="O137" i="10" s="1"/>
  <c r="O136" i="10" s="1"/>
  <c r="O110" i="10" s="1"/>
  <c r="O154" i="10" s="1"/>
  <c r="O84" i="8"/>
  <c r="I39" i="7"/>
  <c r="Q136" i="11"/>
  <c r="Q134" i="11" s="1"/>
  <c r="Q108" i="11" s="1"/>
  <c r="K40" i="11"/>
  <c r="P40" i="11" s="1"/>
  <c r="P39" i="11" s="1"/>
  <c r="Q87" i="11"/>
  <c r="P82" i="11"/>
  <c r="N152" i="11"/>
  <c r="P43" i="11"/>
  <c r="P12" i="11" s="1"/>
  <c r="I136" i="11"/>
  <c r="I134" i="11" s="1"/>
  <c r="I108" i="11" s="1"/>
  <c r="I152" i="11" s="1"/>
  <c r="N41" i="8" l="1"/>
  <c r="P138" i="10"/>
  <c r="P136" i="10" s="1"/>
  <c r="P110" i="10" s="1"/>
  <c r="P154" i="10" s="1"/>
  <c r="N154" i="8"/>
  <c r="O40" i="10"/>
  <c r="Q40" i="11"/>
  <c r="Q39" i="11" s="1"/>
  <c r="Q81" i="11"/>
  <c r="Q48" i="11" s="1"/>
  <c r="Q152" i="11" s="1"/>
  <c r="Q82" i="11"/>
  <c r="K39" i="11"/>
  <c r="K140" i="13"/>
  <c r="K139" i="13"/>
  <c r="K138" i="13"/>
  <c r="K112" i="13" s="1"/>
  <c r="K156" i="13" s="1"/>
  <c r="J140" i="13"/>
  <c r="J139" i="13"/>
  <c r="J138" i="13" s="1"/>
  <c r="J112" i="13" s="1"/>
  <c r="J156" i="13" s="1"/>
  <c r="H140" i="13"/>
  <c r="H139" i="13" s="1"/>
  <c r="H138" i="13" s="1"/>
  <c r="H112" i="13" s="1"/>
  <c r="H156" i="13" s="1"/>
  <c r="Q140" i="13"/>
  <c r="Q139" i="13" s="1"/>
  <c r="Q138" i="13" s="1"/>
  <c r="Q112" i="13" s="1"/>
  <c r="Q156" i="13" s="1"/>
  <c r="P112" i="13"/>
  <c r="R139" i="13"/>
  <c r="R138" i="13" s="1"/>
  <c r="R112" i="13" s="1"/>
  <c r="R156" i="13" s="1"/>
  <c r="G140" i="13"/>
  <c r="R140" i="13"/>
  <c r="I45" i="13"/>
  <c r="J45" i="13" s="1"/>
  <c r="I139" i="13"/>
  <c r="I140" i="13"/>
  <c r="I138" i="13"/>
  <c r="I112" i="13" s="1"/>
  <c r="I156" i="13" s="1"/>
  <c r="G112" i="13"/>
  <c r="G156" i="13"/>
  <c r="P156" i="13"/>
  <c r="K45" i="13" l="1"/>
  <c r="K43" i="13" s="1"/>
  <c r="Q45" i="13"/>
  <c r="J43" i="13"/>
  <c r="P40" i="10"/>
  <c r="P39" i="10" s="1"/>
  <c r="O39" i="10"/>
  <c r="I43" i="13"/>
  <c r="N39" i="8"/>
  <c r="O41" i="8"/>
  <c r="O39" i="8" s="1"/>
  <c r="Q43" i="13" l="1"/>
  <c r="R45" i="13"/>
  <c r="R43" i="13" s="1"/>
</calcChain>
</file>

<file path=xl/sharedStrings.xml><?xml version="1.0" encoding="utf-8"?>
<sst xmlns="http://schemas.openxmlformats.org/spreadsheetml/2006/main" count="1338" uniqueCount="160">
  <si>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</si>
  <si>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</si>
  <si>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</si>
  <si>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</si>
  <si>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</si>
  <si>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</si>
  <si>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</si>
  <si>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</si>
  <si>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</si>
  <si>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</si>
  <si>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</si>
  <si>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</si>
  <si>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</si>
  <si>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</si>
  <si>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</si>
  <si>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</si>
  <si>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</si>
  <si>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</si>
  <si>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</si>
  <si>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</si>
  <si>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</si>
  <si>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</si>
  <si>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</si>
  <si>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</si>
  <si>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</si>
  <si>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</si>
  <si>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</si>
  <si>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</si>
  <si>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</si>
  <si>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</si>
  <si>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</si>
  <si>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</si>
  <si>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</si>
  <si>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</si>
  <si>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</si>
  <si>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</si>
  <si>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</si>
  <si>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</si>
  <si>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</si>
  <si>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</si>
  <si>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</si>
  <si>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</si>
  <si>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</si>
  <si>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</si>
  <si>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</si>
  <si>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</si>
  <si>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</si>
  <si>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</si>
  <si>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</si>
  <si>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</si>
  <si>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</si>
  <si>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</si>
  <si>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</si>
  <si>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</si>
  <si>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</si>
  <si>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</si>
  <si>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</si>
  <si>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</si>
  <si>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</si>
  <si>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</si>
  <si>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</si>
  <si>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</si>
  <si>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</si>
  <si>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</si>
  <si>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</si>
  <si>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</si>
  <si>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</si>
  <si>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</si>
  <si>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</si>
  <si>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</si>
  <si>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</si>
  <si>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</si>
  <si>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</si>
  <si>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</si>
  <si>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</si>
  <si>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</si>
  <si>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</si>
  <si>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</si>
  <si>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</si>
  <si>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</si>
  <si>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</si>
  <si>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</si>
  <si>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</si>
  <si>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</si>
  <si>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</si>
  <si>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</si>
  <si>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</si>
  <si>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</si>
  <si>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</si>
  <si>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</si>
  <si>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</si>
  <si>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</si>
  <si>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</si>
  <si>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</si>
  <si>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</si>
  <si>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</si>
  <si>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</si>
  <si>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</si>
  <si>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</si>
  <si>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</si>
  <si>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</si>
  <si>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</si>
  <si>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</si>
  <si>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</si>
  <si>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</si>
  <si>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</si>
  <si>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</si>
  <si>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</si>
  <si>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</si>
  <si>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</si>
  <si>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</si>
  <si>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</si>
  <si>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</si>
  <si>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</si>
  <si>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</si>
  <si>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</si>
  <si>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</si>
  <si>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</si>
  <si>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</si>
  <si>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</si>
  <si>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</si>
  <si>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</si>
  <si>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</si>
  <si>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Director Administrativo Financiero</t>
  </si>
  <si>
    <t>Rafael Toribio</t>
  </si>
  <si>
    <t>Presidente CES</t>
  </si>
  <si>
    <t>Presupuesto Ene-Dic.2024</t>
  </si>
  <si>
    <t>Ejecut. Enero,  2024</t>
  </si>
  <si>
    <t>TOTAL</t>
  </si>
  <si>
    <t xml:space="preserve"> Ejecucion Presupuestal al 31 de Enero 2024</t>
  </si>
  <si>
    <t>Ejecut. Febrero,  2024</t>
  </si>
  <si>
    <t xml:space="preserve"> Ejecucion Presupuestal al 29 de Febrero 2024</t>
  </si>
  <si>
    <t>Ejecut. Marzo,  2024</t>
  </si>
  <si>
    <t xml:space="preserve"> Ejecucion Presupuestal al 31 de Marzo 2024</t>
  </si>
  <si>
    <t xml:space="preserve"> Ejecucion Presupuestal al 30 de Abril 2024</t>
  </si>
  <si>
    <t>Ejecut. Abril,  2024</t>
  </si>
  <si>
    <t xml:space="preserve"> Ejecucion Presupuestal al 31 de Mayo 2024</t>
  </si>
  <si>
    <t>Ejecut. Mayo,  2024</t>
  </si>
  <si>
    <t xml:space="preserve"> Ejecucion Presupuestal al 30 de Junio 2024</t>
  </si>
  <si>
    <t>Ejecut. Junio,  2024</t>
  </si>
  <si>
    <t xml:space="preserve"> Ejecucion Presupuestal al 31 de Julio 2024</t>
  </si>
  <si>
    <t>Ejecut. Julio,  2024</t>
  </si>
  <si>
    <t>.</t>
  </si>
  <si>
    <t>Ejecut. agosto,  2024</t>
  </si>
  <si>
    <t>GASOLINA</t>
  </si>
  <si>
    <t>ESTUDIOS INVESTIGACION Y ANALISIS</t>
  </si>
  <si>
    <t>Prestaciones y Bonificaciones</t>
  </si>
  <si>
    <t>Bonos Escolar</t>
  </si>
  <si>
    <t>Vacaciones</t>
  </si>
  <si>
    <t>Compensación por Desempeño</t>
  </si>
  <si>
    <t xml:space="preserve"> Ejecucion Presupuestal al 31 de agosto 2024</t>
  </si>
  <si>
    <t xml:space="preserve">  </t>
  </si>
  <si>
    <t xml:space="preserve">                                                         Consejo Economico y Social</t>
  </si>
  <si>
    <t xml:space="preserve">                                                               (Valores en RD$)</t>
  </si>
  <si>
    <t>Otros gastos Institucionales</t>
  </si>
  <si>
    <t>Ejecut. Septiembre ,  2024</t>
  </si>
  <si>
    <t>Ejecut. Octubre ,  2024</t>
  </si>
  <si>
    <t>Ejecut. Noviembre ,  2024</t>
  </si>
  <si>
    <t xml:space="preserve">                                      Ejecucion Presupuestal al 31 de Diciembre 2024</t>
  </si>
  <si>
    <t>Ejecut. Diciembre ,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</si>
</sst>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b/>
      <sz val="13"/>
      <color theme="1"/>
      <name val="Calibri Light"/>
      <family val="1"/>
      <scheme val="major"/>
    </font>
    <font>
      <sz val="14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  <font>
      <b/>
      <sz val="14"/>
      <color theme="1"/>
      <name val="Calibri Light"/>
      <family val="2"/>
      <scheme val="major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1"/>
      <color theme="1"/>
      <name val="Calibri Light"/>
      <family val="2"/>
      <scheme val="major"/>
    </font>
    <font>
      <sz val="16"/>
      <color rgb="FFFF0000"/>
      <name val="Cambria"/>
      <family val="1"/>
    </font>
    <font>
      <sz val="16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71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64" fontId="5" fillId="0" borderId="11" xfId="0" applyNumberFormat="1" applyFont="1" applyBorder="1"/>
    <xf numFmtId="166" fontId="5" fillId="2" borderId="8" xfId="1" applyNumberFormat="1" applyFont="1" applyFill="1" applyBorder="1"/>
    <xf numFmtId="164" fontId="7" fillId="0" borderId="3" xfId="0" applyNumberFormat="1" applyFont="1" applyBorder="1"/>
    <xf numFmtId="166" fontId="5" fillId="2" borderId="10" xfId="1" applyNumberFormat="1" applyFont="1" applyFill="1" applyBorder="1"/>
    <xf numFmtId="166" fontId="4" fillId="2" borderId="8" xfId="1" applyNumberFormat="1" applyFont="1" applyFill="1" applyBorder="1"/>
    <xf numFmtId="166" fontId="5" fillId="2" borderId="11" xfId="1" applyNumberFormat="1" applyFont="1" applyFill="1" applyBorder="1"/>
    <xf numFmtId="165" fontId="0" fillId="0" borderId="0" xfId="0" applyNumberFormat="1"/>
    <xf numFmtId="166" fontId="7" fillId="2" borderId="8" xfId="1" applyNumberFormat="1" applyFont="1" applyFill="1" applyBorder="1"/>
    <xf numFmtId="166" fontId="7" fillId="2" borderId="10" xfId="1" applyNumberFormat="1" applyFont="1" applyFill="1" applyBorder="1"/>
    <xf numFmtId="166" fontId="5" fillId="2" borderId="5" xfId="1" applyNumberFormat="1" applyFont="1" applyFill="1" applyBorder="1"/>
    <xf numFmtId="166" fontId="5" fillId="2" borderId="3" xfId="1" applyNumberFormat="1" applyFont="1" applyFill="1" applyBorder="1"/>
    <xf numFmtId="166" fontId="7" fillId="2" borderId="3" xfId="1" applyNumberFormat="1" applyFont="1" applyFill="1" applyBorder="1"/>
    <xf numFmtId="0" fontId="2" fillId="0" borderId="0" xfId="0" applyFont="1"/>
    <xf numFmtId="164" fontId="0" fillId="0" borderId="0" xfId="0" applyNumberFormat="1"/>
    <xf numFmtId="166" fontId="7" fillId="2" borderId="11" xfId="1" applyNumberFormat="1" applyFont="1" applyFill="1" applyBorder="1"/>
    <xf numFmtId="166" fontId="5" fillId="2" borderId="13" xfId="1" applyNumberFormat="1" applyFont="1" applyFill="1" applyBorder="1"/>
    <xf numFmtId="0" fontId="0" fillId="2" borderId="0" xfId="0" applyFill="1"/>
    <xf numFmtId="164" fontId="5" fillId="0" borderId="3" xfId="0" applyNumberFormat="1" applyFont="1" applyBorder="1"/>
    <xf numFmtId="165" fontId="0" fillId="0" borderId="0" xfId="1" applyFont="1"/>
    <xf numFmtId="164" fontId="7" fillId="0" borderId="8" xfId="0" applyNumberFormat="1" applyFont="1" applyBorder="1"/>
    <xf numFmtId="164" fontId="5" fillId="0" borderId="10" xfId="0" applyNumberFormat="1" applyFont="1" applyBorder="1"/>
    <xf numFmtId="166" fontId="4" fillId="2" borderId="3" xfId="1" applyNumberFormat="1" applyFont="1" applyFill="1" applyBorder="1"/>
    <xf numFmtId="1" fontId="0" fillId="2" borderId="0" xfId="0" applyNumberFormat="1" applyFill="1"/>
    <xf numFmtId="0" fontId="8" fillId="0" borderId="0" xfId="0" applyFont="1"/>
    <xf numFmtId="0" fontId="9" fillId="0" borderId="0" xfId="0" applyFont="1"/>
    <xf numFmtId="165" fontId="0" fillId="2" borderId="0" xfId="1" applyFont="1" applyFill="1"/>
    <xf numFmtId="165" fontId="3" fillId="0" borderId="0" xfId="0" applyNumberFormat="1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5" fontId="11" fillId="0" borderId="0" xfId="0" applyNumberFormat="1" applyFont="1"/>
    <xf numFmtId="165" fontId="12" fillId="0" borderId="0" xfId="0" applyNumberFormat="1" applyFont="1"/>
    <xf numFmtId="165" fontId="11" fillId="0" borderId="0" xfId="1" applyFont="1" applyBorder="1" applyAlignment="1">
      <alignment horizontal="center"/>
    </xf>
    <xf numFmtId="165" fontId="2" fillId="0" borderId="0" xfId="1" applyFont="1"/>
    <xf numFmtId="164" fontId="1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1" applyFont="1" applyAlignment="1">
      <alignment horizontal="center"/>
    </xf>
    <xf numFmtId="165" fontId="11" fillId="0" borderId="0" xfId="0" applyNumberFormat="1" applyFont="1" applyAlignment="1">
      <alignment horizontal="center"/>
    </xf>
    <xf numFmtId="165" fontId="3" fillId="2" borderId="0" xfId="1" applyFont="1" applyFill="1" applyBorder="1" applyAlignment="1">
      <alignment horizontal="left"/>
    </xf>
    <xf numFmtId="165" fontId="0" fillId="0" borderId="0" xfId="1" applyFont="1" applyBorder="1"/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4" fontId="3" fillId="0" borderId="0" xfId="0" applyNumberFormat="1" applyFont="1"/>
    <xf numFmtId="165" fontId="12" fillId="0" borderId="0" xfId="1" applyFont="1" applyAlignment="1">
      <alignment horizontal="left"/>
    </xf>
    <xf numFmtId="165" fontId="12" fillId="0" borderId="0" xfId="1" applyFont="1"/>
    <xf numFmtId="165" fontId="12" fillId="0" borderId="0" xfId="1" applyFont="1" applyAlignment="1">
      <alignment horizontal="center"/>
    </xf>
    <xf numFmtId="165" fontId="12" fillId="0" borderId="18" xfId="1" applyFont="1" applyBorder="1"/>
    <xf numFmtId="165" fontId="12" fillId="0" borderId="18" xfId="0" applyNumberFormat="1" applyFont="1" applyBorder="1"/>
    <xf numFmtId="165" fontId="3" fillId="0" borderId="0" xfId="1" applyFont="1"/>
    <xf numFmtId="165" fontId="12" fillId="2" borderId="0" xfId="1" applyFont="1" applyFill="1" applyAlignment="1">
      <alignment horizontal="left"/>
    </xf>
    <xf numFmtId="165" fontId="3" fillId="2" borderId="0" xfId="1" applyFont="1" applyFill="1" applyAlignment="1">
      <alignment horizontal="left"/>
    </xf>
    <xf numFmtId="165" fontId="12" fillId="2" borderId="0" xfId="1" applyFont="1" applyFill="1"/>
    <xf numFmtId="165" fontId="12" fillId="2" borderId="0" xfId="1" applyFont="1" applyFill="1" applyBorder="1"/>
    <xf numFmtId="165" fontId="12" fillId="2" borderId="15" xfId="1" applyFont="1" applyFill="1" applyBorder="1"/>
    <xf numFmtId="165" fontId="2" fillId="2" borderId="0" xfId="1" applyFont="1" applyFill="1" applyAlignment="1">
      <alignment horizontal="left"/>
    </xf>
    <xf numFmtId="165" fontId="12" fillId="2" borderId="19" xfId="1" applyFont="1" applyFill="1" applyBorder="1"/>
    <xf numFmtId="0" fontId="13" fillId="0" borderId="0" xfId="0" applyFont="1"/>
    <xf numFmtId="1" fontId="13" fillId="2" borderId="0" xfId="0" applyNumberFormat="1" applyFont="1" applyFill="1"/>
    <xf numFmtId="0" fontId="15" fillId="0" borderId="0" xfId="0" applyFont="1"/>
    <xf numFmtId="0" fontId="15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" fontId="16" fillId="2" borderId="0" xfId="0" applyNumberFormat="1" applyFont="1" applyFill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4" xfId="0" applyFont="1" applyBorder="1"/>
    <xf numFmtId="1" fontId="16" fillId="2" borderId="4" xfId="0" applyNumberFormat="1" applyFont="1" applyFill="1" applyBorder="1"/>
    <xf numFmtId="0" fontId="16" fillId="0" borderId="5" xfId="0" applyFont="1" applyBorder="1" applyAlignment="1">
      <alignment horizontal="left"/>
    </xf>
    <xf numFmtId="0" fontId="16" fillId="0" borderId="5" xfId="0" applyFont="1" applyBorder="1" applyAlignment="1">
      <alignment horizontal="center" wrapText="1"/>
    </xf>
    <xf numFmtId="1" fontId="16" fillId="2" borderId="5" xfId="0" applyNumberFormat="1" applyFont="1" applyFill="1" applyBorder="1" applyAlignment="1">
      <alignment horizontal="center" wrapText="1"/>
    </xf>
    <xf numFmtId="0" fontId="17" fillId="0" borderId="5" xfId="0" applyFont="1" applyBorder="1"/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1" fontId="16" fillId="2" borderId="5" xfId="0" applyNumberFormat="1" applyFont="1" applyFill="1" applyBorder="1" applyAlignment="1">
      <alignment horizontal="center"/>
    </xf>
    <xf numFmtId="0" fontId="15" fillId="0" borderId="7" xfId="0" applyFont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/>
    <xf numFmtId="0" fontId="15" fillId="0" borderId="9" xfId="0" applyFont="1" applyBorder="1"/>
    <xf numFmtId="0" fontId="16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 wrapText="1"/>
    </xf>
    <xf numFmtId="164" fontId="16" fillId="0" borderId="9" xfId="0" applyNumberFormat="1" applyFont="1" applyBorder="1" applyAlignment="1">
      <alignment horizontal="center"/>
    </xf>
    <xf numFmtId="1" fontId="16" fillId="2" borderId="9" xfId="0" applyNumberFormat="1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7" xfId="0" applyFont="1" applyBorder="1" applyAlignment="1">
      <alignment horizontal="left" wrapText="1"/>
    </xf>
    <xf numFmtId="164" fontId="16" fillId="0" borderId="6" xfId="0" applyNumberFormat="1" applyFont="1" applyBorder="1"/>
    <xf numFmtId="166" fontId="16" fillId="2" borderId="7" xfId="1" applyNumberFormat="1" applyFont="1" applyFill="1" applyBorder="1"/>
    <xf numFmtId="164" fontId="18" fillId="0" borderId="5" xfId="0" applyNumberFormat="1" applyFont="1" applyBorder="1"/>
    <xf numFmtId="166" fontId="18" fillId="2" borderId="5" xfId="1" applyNumberFormat="1" applyFont="1" applyFill="1" applyBorder="1"/>
    <xf numFmtId="0" fontId="15" fillId="0" borderId="7" xfId="0" applyFont="1" applyBorder="1" applyAlignment="1">
      <alignment wrapText="1"/>
    </xf>
    <xf numFmtId="164" fontId="16" fillId="0" borderId="9" xfId="0" applyNumberFormat="1" applyFont="1" applyBorder="1"/>
    <xf numFmtId="166" fontId="16" fillId="2" borderId="9" xfId="1" applyNumberFormat="1" applyFont="1" applyFill="1" applyBorder="1"/>
    <xf numFmtId="164" fontId="15" fillId="0" borderId="7" xfId="0" applyNumberFormat="1" applyFont="1" applyBorder="1"/>
    <xf numFmtId="166" fontId="15" fillId="2" borderId="7" xfId="1" applyNumberFormat="1" applyFont="1" applyFill="1" applyBorder="1"/>
    <xf numFmtId="0" fontId="16" fillId="0" borderId="7" xfId="0" applyFont="1" applyBorder="1" applyAlignment="1">
      <alignment wrapText="1"/>
    </xf>
    <xf numFmtId="166" fontId="16" fillId="2" borderId="6" xfId="1" applyNumberFormat="1" applyFont="1" applyFill="1" applyBorder="1"/>
    <xf numFmtId="0" fontId="18" fillId="0" borderId="7" xfId="0" applyFont="1" applyBorder="1" applyAlignment="1">
      <alignment wrapText="1"/>
    </xf>
    <xf numFmtId="164" fontId="18" fillId="0" borderId="9" xfId="0" applyNumberFormat="1" applyFont="1" applyBorder="1"/>
    <xf numFmtId="164" fontId="18" fillId="0" borderId="7" xfId="0" applyNumberFormat="1" applyFont="1" applyBorder="1"/>
    <xf numFmtId="166" fontId="18" fillId="2" borderId="9" xfId="1" applyNumberFormat="1" applyFont="1" applyFill="1" applyBorder="1"/>
    <xf numFmtId="166" fontId="18" fillId="2" borderId="7" xfId="1" applyNumberFormat="1" applyFont="1" applyFill="1" applyBorder="1"/>
    <xf numFmtId="164" fontId="18" fillId="0" borderId="6" xfId="0" applyNumberFormat="1" applyFont="1" applyBorder="1"/>
    <xf numFmtId="164" fontId="16" fillId="0" borderId="5" xfId="0" applyNumberFormat="1" applyFont="1" applyBorder="1"/>
    <xf numFmtId="166" fontId="16" fillId="2" borderId="5" xfId="1" applyNumberFormat="1" applyFont="1" applyFill="1" applyBorder="1"/>
    <xf numFmtId="164" fontId="19" fillId="0" borderId="7" xfId="0" applyNumberFormat="1" applyFont="1" applyBorder="1"/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166" fontId="18" fillId="2" borderId="6" xfId="1" applyNumberFormat="1" applyFont="1" applyFill="1" applyBorder="1"/>
    <xf numFmtId="166" fontId="16" fillId="2" borderId="12" xfId="1" applyNumberFormat="1" applyFont="1" applyFill="1" applyBorder="1"/>
    <xf numFmtId="0" fontId="18" fillId="0" borderId="7" xfId="0" applyFon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7" xfId="0" applyFont="1" applyFill="1" applyBorder="1" applyAlignment="1">
      <alignment wrapText="1"/>
    </xf>
    <xf numFmtId="164" fontId="18" fillId="2" borderId="6" xfId="0" applyNumberFormat="1" applyFont="1" applyFill="1" applyBorder="1"/>
    <xf numFmtId="164" fontId="18" fillId="2" borderId="7" xfId="0" applyNumberFormat="1" applyFont="1" applyFill="1" applyBorder="1"/>
    <xf numFmtId="164" fontId="16" fillId="0" borderId="7" xfId="0" applyNumberFormat="1" applyFont="1" applyBorder="1"/>
    <xf numFmtId="0" fontId="18" fillId="2" borderId="7" xfId="0" applyFont="1" applyFill="1" applyBorder="1" applyAlignment="1">
      <alignment wrapText="1"/>
    </xf>
    <xf numFmtId="0" fontId="18" fillId="0" borderId="14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164" fontId="16" fillId="0" borderId="12" xfId="0" applyNumberFormat="1" applyFont="1" applyBorder="1"/>
    <xf numFmtId="166" fontId="15" fillId="2" borderId="5" xfId="1" applyNumberFormat="1" applyFont="1" applyFill="1" applyBorder="1"/>
    <xf numFmtId="0" fontId="16" fillId="0" borderId="8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6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5" fillId="0" borderId="8" xfId="0" applyFont="1" applyBorder="1" applyAlignment="1">
      <alignment wrapText="1"/>
    </xf>
    <xf numFmtId="0" fontId="18" fillId="0" borderId="14" xfId="0" applyFont="1" applyBorder="1"/>
    <xf numFmtId="0" fontId="15" fillId="0" borderId="6" xfId="0" applyFont="1" applyBorder="1" applyAlignment="1">
      <alignment horizontal="center"/>
    </xf>
    <xf numFmtId="0" fontId="15" fillId="0" borderId="11" xfId="0" applyFont="1" applyBorder="1"/>
    <xf numFmtId="0" fontId="15" fillId="0" borderId="6" xfId="0" applyFont="1" applyBorder="1"/>
    <xf numFmtId="0" fontId="16" fillId="0" borderId="17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164" fontId="15" fillId="0" borderId="0" xfId="0" applyNumberFormat="1" applyFont="1"/>
    <xf numFmtId="1" fontId="15" fillId="2" borderId="0" xfId="0" applyNumberFormat="1" applyFont="1" applyFill="1"/>
    <xf numFmtId="49" fontId="15" fillId="0" borderId="0" xfId="0" applyNumberFormat="1" applyFont="1" applyAlignment="1">
      <alignment horizontal="center"/>
    </xf>
    <xf numFmtId="0" fontId="20" fillId="0" borderId="0" xfId="0" applyFont="1"/>
    <xf numFmtId="165" fontId="15" fillId="2" borderId="0" xfId="1" applyFont="1" applyFill="1" applyBorder="1"/>
    <xf numFmtId="49" fontId="15" fillId="0" borderId="0" xfId="0" applyNumberFormat="1" applyFont="1"/>
    <xf numFmtId="0" fontId="20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5" fontId="15" fillId="2" borderId="0" xfId="1" applyFont="1" applyFill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20" fillId="0" borderId="16" xfId="0" applyFont="1" applyBorder="1" applyAlignment="1">
      <alignment horizontal="center"/>
    </xf>
    <xf numFmtId="164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0" fillId="0" borderId="15" xfId="0" applyFont="1" applyBorder="1" applyAlignment="1">
      <alignment horizontal="center"/>
    </xf>
    <xf numFmtId="164" fontId="20" fillId="0" borderId="0" xfId="0" applyNumberFormat="1" applyFont="1" applyAlignment="1">
      <alignment horizontal="center"/>
    </xf>
    <xf numFmtId="165" fontId="20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165" fontId="13" fillId="2" borderId="0" xfId="1" applyFont="1" applyFill="1"/>
    <xf numFmtId="165" fontId="23" fillId="0" borderId="0" xfId="0" applyNumberFormat="1" applyFont="1" applyAlignment="1">
      <alignment horizontal="center"/>
    </xf>
    <xf numFmtId="165" fontId="24" fillId="0" borderId="0" xfId="1" applyFont="1" applyAlignment="1">
      <alignment wrapText="1"/>
    </xf>
    <xf numFmtId="1" fontId="2" fillId="2" borderId="0" xfId="0" applyNumberFormat="1" applyFont="1" applyFill="1"/>
    <xf numFmtId="1" fontId="24" fillId="2" borderId="0" xfId="0" applyNumberFormat="1" applyFont="1" applyFill="1"/>
    <xf numFmtId="164" fontId="16" fillId="2" borderId="6" xfId="0" applyNumberFormat="1" applyFont="1" applyFill="1" applyBorder="1"/>
    <xf numFmtId="164" fontId="16" fillId="2" borderId="5" xfId="0" applyNumberFormat="1" applyFont="1" applyFill="1" applyBorder="1"/>
    <xf numFmtId="164" fontId="16" fillId="2" borderId="7" xfId="0" applyNumberFormat="1" applyFont="1" applyFill="1" applyBorder="1"/>
    <xf numFmtId="164" fontId="16" fillId="2" borderId="9" xfId="0" applyNumberFormat="1" applyFont="1" applyFill="1" applyBorder="1"/>
    <xf numFmtId="164" fontId="18" fillId="2" borderId="5" xfId="0" applyNumberFormat="1" applyFont="1" applyFill="1" applyBorder="1"/>
    <xf numFmtId="165" fontId="24" fillId="0" borderId="0" xfId="1" applyFont="1"/>
    <xf numFmtId="165" fontId="24" fillId="0" borderId="0" xfId="1" applyFont="1" applyAlignment="1">
      <alignment horizontal="left"/>
    </xf>
    <xf numFmtId="165" fontId="24" fillId="2" borderId="0" xfId="1" applyFont="1" applyFill="1" applyBorder="1" applyAlignment="1">
      <alignment horizontal="left"/>
    </xf>
    <xf numFmtId="165" fontId="0" fillId="0" borderId="0" xfId="1" applyFont="1" applyAlignment="1">
      <alignment wrapText="1"/>
    </xf>
    <xf numFmtId="0" fontId="0" fillId="0" borderId="0" xfId="0" applyAlignment="1">
      <alignment horizontal="center"/>
    </xf>
    <xf numFmtId="0" fontId="16" fillId="0" borderId="5" xfId="0" applyFont="1" applyBorder="1" applyAlignment="1">
      <alignment horizontal="center"/>
    </xf>
    <xf numFmtId="165" fontId="13" fillId="0" borderId="0" xfId="1" applyFont="1"/>
    <xf numFmtId="0" fontId="25" fillId="0" borderId="0" xfId="0" applyFont="1"/>
    <xf numFmtId="165" fontId="24" fillId="2" borderId="0" xfId="1" applyFont="1" applyFill="1" applyAlignment="1">
      <alignment horizontal="left"/>
    </xf>
    <xf numFmtId="165" fontId="24" fillId="2" borderId="0" xfId="1" applyFont="1" applyFill="1"/>
    <xf numFmtId="164" fontId="16" fillId="2" borderId="12" xfId="0" applyNumberFormat="1" applyFont="1" applyFill="1" applyBorder="1"/>
    <xf numFmtId="166" fontId="18" fillId="2" borderId="22" xfId="1" applyNumberFormat="1" applyFont="1" applyFill="1" applyBorder="1"/>
    <xf numFmtId="166" fontId="15" fillId="2" borderId="9" xfId="1" applyNumberFormat="1" applyFont="1" applyFill="1" applyBorder="1"/>
    <xf numFmtId="166" fontId="18" fillId="2" borderId="14" xfId="1" applyNumberFormat="1" applyFont="1" applyFill="1" applyBorder="1"/>
    <xf numFmtId="166" fontId="16" fillId="2" borderId="14" xfId="1" applyNumberFormat="1" applyFont="1" applyFill="1" applyBorder="1"/>
    <xf numFmtId="165" fontId="24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5" fontId="17" fillId="2" borderId="0" xfId="1" applyFont="1" applyFill="1" applyBorder="1" applyAlignment="1">
      <alignment horizontal="center" wrapText="1"/>
    </xf>
    <xf numFmtId="165" fontId="6" fillId="2" borderId="0" xfId="1" applyFont="1" applyFill="1" applyBorder="1" applyAlignment="1">
      <alignment horizontal="center" wrapText="1"/>
    </xf>
    <xf numFmtId="164" fontId="24" fillId="0" borderId="0" xfId="0" applyNumberFormat="1" applyFont="1" applyAlignment="1">
      <alignment horizontal="center" wrapText="1"/>
    </xf>
    <xf numFmtId="164" fontId="24" fillId="0" borderId="0" xfId="0" applyNumberFormat="1" applyFont="1" applyAlignment="1">
      <alignment horizontal="left" wrapText="1"/>
    </xf>
    <xf numFmtId="1" fontId="24" fillId="2" borderId="0" xfId="0" applyNumberFormat="1" applyFont="1" applyFill="1" applyAlignment="1">
      <alignment horizontal="left" wrapText="1"/>
    </xf>
    <xf numFmtId="165" fontId="24" fillId="2" borderId="0" xfId="1" applyFont="1" applyFill="1" applyAlignment="1">
      <alignment horizontal="left" wrapText="1"/>
    </xf>
    <xf numFmtId="1" fontId="24" fillId="2" borderId="0" xfId="0" applyNumberFormat="1" applyFont="1" applyFill="1" applyAlignment="1">
      <alignment wrapText="1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166" fontId="15" fillId="2" borderId="14" xfId="1" applyNumberFormat="1" applyFont="1" applyFill="1" applyBorder="1"/>
    <xf numFmtId="164" fontId="18" fillId="2" borderId="1" xfId="0" applyNumberFormat="1" applyFont="1" applyFill="1" applyBorder="1"/>
    <xf numFmtId="1" fontId="16" fillId="2" borderId="3" xfId="0" applyNumberFormat="1" applyFont="1" applyFill="1" applyBorder="1" applyAlignment="1">
      <alignment horizontal="center" wrapText="1"/>
    </xf>
    <xf numFmtId="1" fontId="16" fillId="2" borderId="3" xfId="0" applyNumberFormat="1" applyFont="1" applyFill="1" applyBorder="1" applyAlignment="1">
      <alignment horizontal="center"/>
    </xf>
    <xf numFmtId="1" fontId="16" fillId="2" borderId="10" xfId="0" applyNumberFormat="1" applyFont="1" applyFill="1" applyBorder="1" applyAlignment="1">
      <alignment horizontal="center"/>
    </xf>
    <xf numFmtId="164" fontId="16" fillId="0" borderId="11" xfId="0" applyNumberFormat="1" applyFont="1" applyBorder="1"/>
    <xf numFmtId="166" fontId="16" fillId="2" borderId="8" xfId="1" applyNumberFormat="1" applyFont="1" applyFill="1" applyBorder="1"/>
    <xf numFmtId="164" fontId="18" fillId="0" borderId="3" xfId="0" applyNumberFormat="1" applyFont="1" applyBorder="1"/>
    <xf numFmtId="166" fontId="16" fillId="2" borderId="10" xfId="1" applyNumberFormat="1" applyFont="1" applyFill="1" applyBorder="1"/>
    <xf numFmtId="166" fontId="15" fillId="2" borderId="8" xfId="1" applyNumberFormat="1" applyFont="1" applyFill="1" applyBorder="1"/>
    <xf numFmtId="166" fontId="16" fillId="2" borderId="11" xfId="1" applyNumberFormat="1" applyFont="1" applyFill="1" applyBorder="1"/>
    <xf numFmtId="166" fontId="18" fillId="2" borderId="8" xfId="1" applyNumberFormat="1" applyFont="1" applyFill="1" applyBorder="1"/>
    <xf numFmtId="166" fontId="18" fillId="2" borderId="10" xfId="1" applyNumberFormat="1" applyFont="1" applyFill="1" applyBorder="1"/>
    <xf numFmtId="166" fontId="16" fillId="2" borderId="3" xfId="1" applyNumberFormat="1" applyFont="1" applyFill="1" applyBorder="1"/>
    <xf numFmtId="166" fontId="18" fillId="2" borderId="3" xfId="1" applyNumberFormat="1" applyFont="1" applyFill="1" applyBorder="1"/>
    <xf numFmtId="166" fontId="18" fillId="2" borderId="11" xfId="1" applyNumberFormat="1" applyFont="1" applyFill="1" applyBorder="1"/>
    <xf numFmtId="166" fontId="16" fillId="2" borderId="13" xfId="1" applyNumberFormat="1" applyFont="1" applyFill="1" applyBorder="1"/>
    <xf numFmtId="164" fontId="16" fillId="0" borderId="3" xfId="0" applyNumberFormat="1" applyFont="1" applyBorder="1"/>
    <xf numFmtId="164" fontId="18" fillId="0" borderId="8" xfId="0" applyNumberFormat="1" applyFont="1" applyBorder="1"/>
    <xf numFmtId="164" fontId="16" fillId="0" borderId="10" xfId="0" applyNumberFormat="1" applyFont="1" applyBorder="1"/>
    <xf numFmtId="166" fontId="15" fillId="2" borderId="3" xfId="1" applyNumberFormat="1" applyFont="1" applyFill="1" applyBorder="1"/>
    <xf numFmtId="164" fontId="18" fillId="0" borderId="22" xfId="0" applyNumberFormat="1" applyFont="1" applyBorder="1"/>
    <xf numFmtId="166" fontId="18" fillId="2" borderId="17" xfId="1" applyNumberFormat="1" applyFont="1" applyFill="1" applyBorder="1"/>
    <xf numFmtId="166" fontId="18" fillId="2" borderId="23" xfId="1" applyNumberFormat="1" applyFont="1" applyFill="1" applyBorder="1"/>
    <xf numFmtId="166" fontId="18" fillId="2" borderId="24" xfId="1" applyNumberFormat="1" applyFont="1" applyFill="1" applyBorder="1"/>
    <xf numFmtId="166" fontId="18" fillId="2" borderId="20" xfId="1" applyNumberFormat="1" applyFont="1" applyFill="1" applyBorder="1"/>
    <xf numFmtId="164" fontId="16" fillId="2" borderId="17" xfId="0" applyNumberFormat="1" applyFont="1" applyFill="1" applyBorder="1"/>
    <xf numFmtId="164" fontId="16" fillId="2" borderId="21" xfId="0" applyNumberFormat="1" applyFont="1" applyFill="1" applyBorder="1"/>
    <xf numFmtId="164" fontId="18" fillId="2" borderId="14" xfId="0" applyNumberFormat="1" applyFont="1" applyFill="1" applyBorder="1"/>
    <xf numFmtId="165" fontId="13" fillId="0" borderId="0" xfId="1" applyFont="1" applyAlignment="1">
      <alignment horizontal="center"/>
    </xf>
    <xf numFmtId="165" fontId="11" fillId="0" borderId="0" xfId="1" applyFont="1" applyAlignment="1">
      <alignment horizontal="center"/>
    </xf>
    <xf numFmtId="165" fontId="21" fillId="0" borderId="0" xfId="1" applyFont="1" applyAlignment="1">
      <alignment horizontal="center"/>
    </xf>
    <xf numFmtId="165" fontId="23" fillId="0" borderId="0" xfId="1" applyFont="1" applyAlignment="1">
      <alignment horizontal="center"/>
    </xf>
    <xf numFmtId="165" fontId="22" fillId="0" borderId="0" xfId="1" applyFont="1" applyAlignment="1">
      <alignment horizontal="center"/>
    </xf>
    <xf numFmtId="166" fontId="18" fillId="2" borderId="25" xfId="1" applyNumberFormat="1" applyFont="1" applyFill="1" applyBorder="1"/>
    <xf numFmtId="166" fontId="18" fillId="2" borderId="26" xfId="1" applyNumberFormat="1" applyFont="1" applyFill="1" applyBorder="1"/>
    <xf numFmtId="166" fontId="18" fillId="2" borderId="27" xfId="1" applyNumberFormat="1" applyFont="1" applyFill="1" applyBorder="1"/>
    <xf numFmtId="164" fontId="18" fillId="0" borderId="28" xfId="0" applyNumberFormat="1" applyFont="1" applyBorder="1"/>
    <xf numFmtId="164" fontId="16" fillId="2" borderId="29" xfId="0" applyNumberFormat="1" applyFont="1" applyFill="1" applyBorder="1"/>
    <xf numFmtId="165" fontId="24" fillId="0" borderId="0" xfId="0" applyNumberFormat="1" applyFont="1"/>
    <xf numFmtId="164" fontId="18" fillId="2" borderId="9" xfId="0" applyNumberFormat="1" applyFont="1" applyFill="1" applyBorder="1"/>
    <xf numFmtId="165" fontId="13" fillId="0" borderId="0" xfId="1" applyFont="1" applyAlignment="1">
      <alignment horizontal="center" wrapText="1"/>
    </xf>
    <xf numFmtId="165" fontId="3" fillId="0" borderId="0" xfId="1" applyFont="1" applyBorder="1" applyAlignment="1">
      <alignment horizontal="center"/>
    </xf>
    <xf numFmtId="165" fontId="13" fillId="0" borderId="0" xfId="1" applyFont="1" applyBorder="1" applyAlignment="1">
      <alignment horizontal="center"/>
    </xf>
    <xf numFmtId="165" fontId="26" fillId="0" borderId="0" xfId="1" applyFont="1" applyAlignment="1">
      <alignment horizontal="center"/>
    </xf>
    <xf numFmtId="165" fontId="1" fillId="0" borderId="0" xfId="1" applyFont="1"/>
    <xf numFmtId="165" fontId="12" fillId="0" borderId="0" xfId="1" applyFont="1" applyBorder="1"/>
    <xf numFmtId="166" fontId="16" fillId="2" borderId="17" xfId="1" applyNumberFormat="1" applyFont="1" applyFill="1" applyBorder="1"/>
    <xf numFmtId="166" fontId="16" fillId="2" borderId="21" xfId="1" applyNumberFormat="1" applyFont="1" applyFill="1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5" fillId="0" borderId="0" xfId="0" applyFont="1" applyAlignment="1">
      <alignment horizontal="center"/>
    </xf>
    <xf numFmtId="164" fontId="25" fillId="0" borderId="0" xfId="0" applyNumberFormat="1" applyFont="1" applyAlignment="1">
      <alignment horizontal="center"/>
    </xf>
    <xf numFmtId="0" fontId="25" fillId="0" borderId="16" xfId="0" applyFont="1" applyBorder="1" applyAlignment="1">
      <alignment horizontal="center"/>
    </xf>
    <xf numFmtId="165" fontId="25" fillId="0" borderId="0" xfId="1" applyFont="1" applyAlignment="1">
      <alignment horizontal="center"/>
    </xf>
    <xf numFmtId="165" fontId="27" fillId="0" borderId="0" xfId="1" applyFont="1" applyAlignment="1">
      <alignment horizontal="center"/>
    </xf>
    <xf numFmtId="165" fontId="25" fillId="0" borderId="0" xfId="1" applyFont="1" applyAlignment="1">
      <alignment horizontal="center" wrapText="1"/>
    </xf>
    <xf numFmtId="0" fontId="25" fillId="0" borderId="15" xfId="0" applyFont="1" applyBorder="1" applyAlignment="1">
      <alignment horizontal="center"/>
    </xf>
    <xf numFmtId="165" fontId="28" fillId="0" borderId="0" xfId="1" applyFont="1" applyAlignment="1">
      <alignment horizontal="center"/>
    </xf>
    <xf numFmtId="165" fontId="12" fillId="0" borderId="0" xfId="1" applyFont="1" applyBorder="1" applyAlignment="1">
      <alignment horizontal="center"/>
    </xf>
    <xf numFmtId="165" fontId="12" fillId="0" borderId="0" xfId="1" applyFont="1" applyBorder="1" applyAlignment="1">
      <alignment horizontal="left"/>
    </xf>
    <xf numFmtId="165" fontId="12" fillId="2" borderId="0" xfId="1" applyFont="1" applyFill="1" applyBorder="1" applyAlignment="1">
      <alignment horizontal="left"/>
    </xf>
    <xf numFmtId="166" fontId="16" fillId="2" borderId="29" xfId="1" applyNumberFormat="1" applyFont="1" applyFill="1" applyBorder="1"/>
    <xf numFmtId="164" fontId="18" fillId="0" borderId="10" xfId="0" applyNumberFormat="1" applyFont="1" applyBorder="1"/>
    <xf numFmtId="166" fontId="0" fillId="0" borderId="0" xfId="0" applyNumberFormat="1"/>
    <xf numFmtId="0" fontId="14" fillId="0" borderId="0" xfId="0" applyFont="1" applyAlignment="1">
      <alignment horizontal="left" wrapText="1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4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'ENERO 2024'!$A$84:$F$90</c:f>
              <c:multiLvlStrCache>
                <c:ptCount val="7"/>
                <c:lvl>
                  <c:pt idx="0">
                    <c:v>Servicios de conservación , rep. menores e inst. temporales </c:v>
                  </c:pt>
                  <c:pt idx="1">
                    <c:v>Reparaciones de maquinarias y equipos</c:v>
                  </c:pt>
                  <c:pt idx="2">
                    <c:v>Servicios especiales de mantenimiento y reparación</c:v>
                  </c:pt>
                  <c:pt idx="3">
                    <c:v>Mantenimiento  y reparación de equipo para computación</c:v>
                  </c:pt>
                  <c:pt idx="4">
                    <c:v>Mantenimiento  y reparación de equipo de comunicación</c:v>
                  </c:pt>
                  <c:pt idx="5">
                    <c:v>Mantenimiento  y reparación de equipo de oficina y muebles</c:v>
                  </c:pt>
                  <c:pt idx="6">
                    <c:v>Mantenimiento y reparación de equipos de transp. tracción y elev.</c:v>
                  </c:pt>
                </c:lvl>
                <c:lvl>
                  <c:pt idx="2">
                    <c:v>2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6</c:v>
                  </c:pt>
                </c:lvl>
                <c:lvl>
                  <c:pt idx="1">
                    <c:v>2</c:v>
                  </c:pt>
                  <c:pt idx="2">
                    <c:v>1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  <c:lvl>
                  <c:pt idx="0">
                    <c:v>7</c:v>
                  </c:pt>
                  <c:pt idx="1">
                    <c:v>7</c:v>
                  </c:pt>
                  <c:pt idx="2">
                    <c:v>7</c:v>
                  </c:pt>
                  <c:pt idx="3">
                    <c:v>7</c:v>
                  </c:pt>
                  <c:pt idx="4">
                    <c:v>7</c:v>
                  </c:pt>
                  <c:pt idx="5">
                    <c:v>7</c:v>
                  </c:pt>
                  <c:pt idx="6">
                    <c:v>7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</c:multiLvlStrCache>
            </c:multiLvlStrRef>
          </c:cat>
          <c:val>
            <c:numRef>
              <c:f>'ENERO 2024'!$G$84:$G$90</c:f>
              <c:numCache>
                <c:formatCode>_(* #,##0_);_(* \(#,##0\);_(* "-"_);_(@_)</c:formatCode>
                <c:ptCount val="7"/>
                <c:pt idx="0">
                  <c:v>45117</c:v>
                </c:pt>
                <c:pt idx="1">
                  <c:v>45117</c:v>
                </c:pt>
                <c:pt idx="3">
                  <c:v>9117</c:v>
                </c:pt>
                <c:pt idx="5">
                  <c:v>24000</c:v>
                </c:pt>
                <c:pt idx="6">
                  <c:v>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C-414E-88AE-875F8F1A93A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'ENERO 2024'!$A$84:$F$90</c:f>
              <c:multiLvlStrCache>
                <c:ptCount val="7"/>
                <c:lvl>
                  <c:pt idx="0">
                    <c:v>Servicios de conservación , rep. menores e inst. temporales </c:v>
                  </c:pt>
                  <c:pt idx="1">
                    <c:v>Reparaciones de maquinarias y equipos</c:v>
                  </c:pt>
                  <c:pt idx="2">
                    <c:v>Servicios especiales de mantenimiento y reparación</c:v>
                  </c:pt>
                  <c:pt idx="3">
                    <c:v>Mantenimiento  y reparación de equipo para computación</c:v>
                  </c:pt>
                  <c:pt idx="4">
                    <c:v>Mantenimiento  y reparación de equipo de comunicación</c:v>
                  </c:pt>
                  <c:pt idx="5">
                    <c:v>Mantenimiento  y reparación de equipo de oficina y muebles</c:v>
                  </c:pt>
                  <c:pt idx="6">
                    <c:v>Mantenimiento y reparación de equipos de transp. tracción y elev.</c:v>
                  </c:pt>
                </c:lvl>
                <c:lvl>
                  <c:pt idx="2">
                    <c:v>2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6</c:v>
                  </c:pt>
                </c:lvl>
                <c:lvl>
                  <c:pt idx="1">
                    <c:v>2</c:v>
                  </c:pt>
                  <c:pt idx="2">
                    <c:v>1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  <c:lvl>
                  <c:pt idx="0">
                    <c:v>7</c:v>
                  </c:pt>
                  <c:pt idx="1">
                    <c:v>7</c:v>
                  </c:pt>
                  <c:pt idx="2">
                    <c:v>7</c:v>
                  </c:pt>
                  <c:pt idx="3">
                    <c:v>7</c:v>
                  </c:pt>
                  <c:pt idx="4">
                    <c:v>7</c:v>
                  </c:pt>
                  <c:pt idx="5">
                    <c:v>7</c:v>
                  </c:pt>
                  <c:pt idx="6">
                    <c:v>7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</c:multiLvlStrCache>
            </c:multiLvlStrRef>
          </c:cat>
          <c:val>
            <c:numRef>
              <c:f>'ENERO 2024'!#REF!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DC-414E-88AE-875F8F1A93A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'ENERO 2024'!$A$84:$F$90</c:f>
              <c:multiLvlStrCache>
                <c:ptCount val="7"/>
                <c:lvl>
                  <c:pt idx="0">
                    <c:v>Servicios de conservación , rep. menores e inst. temporales </c:v>
                  </c:pt>
                  <c:pt idx="1">
                    <c:v>Reparaciones de maquinarias y equipos</c:v>
                  </c:pt>
                  <c:pt idx="2">
                    <c:v>Servicios especiales de mantenimiento y reparación</c:v>
                  </c:pt>
                  <c:pt idx="3">
                    <c:v>Mantenimiento  y reparación de equipo para computación</c:v>
                  </c:pt>
                  <c:pt idx="4">
                    <c:v>Mantenimiento  y reparación de equipo de comunicación</c:v>
                  </c:pt>
                  <c:pt idx="5">
                    <c:v>Mantenimiento  y reparación de equipo de oficina y muebles</c:v>
                  </c:pt>
                  <c:pt idx="6">
                    <c:v>Mantenimiento y reparación de equipos de transp. tracción y elev.</c:v>
                  </c:pt>
                </c:lvl>
                <c:lvl>
                  <c:pt idx="2">
                    <c:v>2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6</c:v>
                  </c:pt>
                </c:lvl>
                <c:lvl>
                  <c:pt idx="1">
                    <c:v>2</c:v>
                  </c:pt>
                  <c:pt idx="2">
                    <c:v>1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  <c:lvl>
                  <c:pt idx="0">
                    <c:v>7</c:v>
                  </c:pt>
                  <c:pt idx="1">
                    <c:v>7</c:v>
                  </c:pt>
                  <c:pt idx="2">
                    <c:v>7</c:v>
                  </c:pt>
                  <c:pt idx="3">
                    <c:v>7</c:v>
                  </c:pt>
                  <c:pt idx="4">
                    <c:v>7</c:v>
                  </c:pt>
                  <c:pt idx="5">
                    <c:v>7</c:v>
                  </c:pt>
                  <c:pt idx="6">
                    <c:v>7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</c:multiLvlStrCache>
            </c:multiLvlStrRef>
          </c:cat>
          <c:val>
            <c:numRef>
              <c:f>'ENERO 2024'!$H$84:$H$90</c:f>
              <c:numCache>
                <c:formatCode>_(* #,##0_);_(* \(#,##0\);_(* "-"_);_(@_)</c:formatCode>
                <c:ptCount val="7"/>
                <c:pt idx="0" formatCode="_(* #,##0_);_(* \(#,##0\);_(* &quot;-&quot;??_);_(@_)">
                  <c:v>19800.52</c:v>
                </c:pt>
                <c:pt idx="1">
                  <c:v>19800.52</c:v>
                </c:pt>
                <c:pt idx="3" formatCode="_(* #,##0_);_(* \(#,##0\);_(* &quot;-&quot;??_);_(@_)">
                  <c:v>0</c:v>
                </c:pt>
                <c:pt idx="4" formatCode="_(* #,##0_);_(* \(#,##0\);_(* &quot;-&quot;??_);_(@_)">
                  <c:v>0</c:v>
                </c:pt>
                <c:pt idx="6" formatCode="_(* #,##0_);_(* \(#,##0\);_(* &quot;-&quot;??_);_(@_)">
                  <c:v>19800.52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DC-414E-88AE-875F8F1A93A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'ENERO 2024'!$A$84:$F$90</c:f>
              <c:multiLvlStrCache>
                <c:ptCount val="7"/>
                <c:lvl>
                  <c:pt idx="0">
                    <c:v>Servicios de conservación , rep. menores e inst. temporales </c:v>
                  </c:pt>
                  <c:pt idx="1">
                    <c:v>Reparaciones de maquinarias y equipos</c:v>
                  </c:pt>
                  <c:pt idx="2">
                    <c:v>Servicios especiales de mantenimiento y reparación</c:v>
                  </c:pt>
                  <c:pt idx="3">
                    <c:v>Mantenimiento  y reparación de equipo para computación</c:v>
                  </c:pt>
                  <c:pt idx="4">
                    <c:v>Mantenimiento  y reparación de equipo de comunicación</c:v>
                  </c:pt>
                  <c:pt idx="5">
                    <c:v>Mantenimiento  y reparación de equipo de oficina y muebles</c:v>
                  </c:pt>
                  <c:pt idx="6">
                    <c:v>Mantenimiento y reparación de equipos de transp. tracción y elev.</c:v>
                  </c:pt>
                </c:lvl>
                <c:lvl>
                  <c:pt idx="2">
                    <c:v>2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6</c:v>
                  </c:pt>
                </c:lvl>
                <c:lvl>
                  <c:pt idx="1">
                    <c:v>2</c:v>
                  </c:pt>
                  <c:pt idx="2">
                    <c:v>1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  <c:lvl>
                  <c:pt idx="0">
                    <c:v>7</c:v>
                  </c:pt>
                  <c:pt idx="1">
                    <c:v>7</c:v>
                  </c:pt>
                  <c:pt idx="2">
                    <c:v>7</c:v>
                  </c:pt>
                  <c:pt idx="3">
                    <c:v>7</c:v>
                  </c:pt>
                  <c:pt idx="4">
                    <c:v>7</c:v>
                  </c:pt>
                  <c:pt idx="5">
                    <c:v>7</c:v>
                  </c:pt>
                  <c:pt idx="6">
                    <c:v>7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:lvl>
              </c:multiLvlStrCache>
            </c:multiLvlStrRef>
          </c:cat>
          <c:val>
            <c:numRef>
              <c:f>'ENERO 2024'!$I$84:$I$90</c:f>
            </c:numRef>
          </c:val>
          <c:extLst>
            <c:ext xmlns:c16="http://schemas.microsoft.com/office/drawing/2014/chart" uri="{C3380CC4-5D6E-409C-BE32-E72D297353CC}">
              <c16:uniqueId val="{00000003-CDDC-414E-88AE-875F8F1A9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197568"/>
        <c:axId val="131338624"/>
      </c:barChart>
      <c:catAx>
        <c:axId val="13119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8624"/>
        <c:crosses val="autoZero"/>
        <c:auto val="1"/>
        <c:lblAlgn val="ctr"/>
        <c:lblOffset val="100"/>
        <c:noMultiLvlLbl val="0"/>
      </c:catAx>
      <c:valAx>
        <c:axId val="13133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19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299" cy="607509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6C308C-ADCF-41B2-6AC4-2CB5B40262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jo%20Econ&#243;mico%20(CES)\2020\2019\BIANNY%20REYES%20PROYECTOS\Consejo%20Econ&#243;mico%20(CES)\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55"/>
  <sheetViews>
    <sheetView workbookViewId="0">
      <selection activeCell="J171" sqref="J171"/>
    </sheetView>
  </sheetViews>
  <sheetFormatPr baseColWidth="10" defaultColWidth="11.42578125" defaultRowHeight="15" x14ac:dyDescent="0.2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7" style="27" customWidth="1"/>
    <col min="9" max="9" width="23.42578125" hidden="1" customWidth="1"/>
    <col min="10" max="10" width="46.5703125" customWidth="1"/>
    <col min="11" max="11" width="14.140625" bestFit="1" customWidth="1"/>
    <col min="12" max="12" width="87.140625" customWidth="1"/>
    <col min="13" max="13" width="37.5703125" customWidth="1"/>
    <col min="14" max="14" width="19.42578125" customWidth="1"/>
    <col min="15" max="15" width="66.42578125" customWidth="1"/>
    <col min="16" max="16" width="28.5703125" customWidth="1"/>
    <col min="17" max="17" width="19.140625" customWidth="1"/>
    <col min="18" max="19" width="14.140625" bestFit="1" customWidth="1"/>
    <col min="20" max="20" width="19.7109375" customWidth="1"/>
    <col min="22" max="22" width="13.140625" bestFit="1" customWidth="1"/>
    <col min="226" max="226" width="4.85546875" bestFit="1" customWidth="1"/>
    <col min="227" max="227" width="5.85546875" bestFit="1" customWidth="1"/>
    <col min="228" max="228" width="7.42578125" bestFit="1" customWidth="1"/>
    <col min="229" max="229" width="8.140625" bestFit="1" customWidth="1"/>
    <col min="230" max="230" width="4.5703125" bestFit="1" customWidth="1"/>
    <col min="231" max="231" width="57.5703125" customWidth="1"/>
    <col min="232" max="232" width="14.28515625" customWidth="1"/>
    <col min="233" max="233" width="0.85546875" customWidth="1"/>
    <col min="234" max="234" width="16.5703125" bestFit="1" customWidth="1"/>
    <col min="235" max="235" width="13.42578125" bestFit="1" customWidth="1"/>
    <col min="482" max="482" width="4.85546875" bestFit="1" customWidth="1"/>
    <col min="483" max="483" width="5.85546875" bestFit="1" customWidth="1"/>
    <col min="484" max="484" width="7.42578125" bestFit="1" customWidth="1"/>
    <col min="485" max="485" width="8.140625" bestFit="1" customWidth="1"/>
    <col min="486" max="486" width="4.5703125" bestFit="1" customWidth="1"/>
    <col min="487" max="487" width="57.5703125" customWidth="1"/>
    <col min="488" max="488" width="14.28515625" customWidth="1"/>
    <col min="489" max="489" width="0.85546875" customWidth="1"/>
    <col min="490" max="490" width="16.5703125" bestFit="1" customWidth="1"/>
    <col min="491" max="491" width="13.42578125" bestFit="1" customWidth="1"/>
    <col min="738" max="738" width="4.85546875" bestFit="1" customWidth="1"/>
    <col min="739" max="739" width="5.85546875" bestFit="1" customWidth="1"/>
    <col min="740" max="740" width="7.42578125" bestFit="1" customWidth="1"/>
    <col min="741" max="741" width="8.140625" bestFit="1" customWidth="1"/>
    <col min="742" max="742" width="4.5703125" bestFit="1" customWidth="1"/>
    <col min="743" max="743" width="57.5703125" customWidth="1"/>
    <col min="744" max="744" width="14.28515625" customWidth="1"/>
    <col min="745" max="745" width="0.85546875" customWidth="1"/>
    <col min="746" max="746" width="16.5703125" bestFit="1" customWidth="1"/>
    <col min="747" max="747" width="13.42578125" bestFit="1" customWidth="1"/>
    <col min="994" max="994" width="4.85546875" bestFit="1" customWidth="1"/>
    <col min="995" max="995" width="5.85546875" bestFit="1" customWidth="1"/>
    <col min="996" max="996" width="7.42578125" bestFit="1" customWidth="1"/>
    <col min="997" max="997" width="8.140625" bestFit="1" customWidth="1"/>
    <col min="998" max="998" width="4.5703125" bestFit="1" customWidth="1"/>
    <col min="999" max="999" width="57.5703125" customWidth="1"/>
    <col min="1000" max="1000" width="14.28515625" customWidth="1"/>
    <col min="1001" max="1001" width="0.85546875" customWidth="1"/>
    <col min="1002" max="1002" width="16.5703125" bestFit="1" customWidth="1"/>
    <col min="1003" max="1003" width="13.42578125" bestFit="1" customWidth="1"/>
    <col min="1250" max="1250" width="4.85546875" bestFit="1" customWidth="1"/>
    <col min="1251" max="1251" width="5.85546875" bestFit="1" customWidth="1"/>
    <col min="1252" max="1252" width="7.42578125" bestFit="1" customWidth="1"/>
    <col min="1253" max="1253" width="8.140625" bestFit="1" customWidth="1"/>
    <col min="1254" max="1254" width="4.5703125" bestFit="1" customWidth="1"/>
    <col min="1255" max="1255" width="57.5703125" customWidth="1"/>
    <col min="1256" max="1256" width="14.28515625" customWidth="1"/>
    <col min="1257" max="1257" width="0.85546875" customWidth="1"/>
    <col min="1258" max="1258" width="16.5703125" bestFit="1" customWidth="1"/>
    <col min="1259" max="1259" width="13.42578125" bestFit="1" customWidth="1"/>
    <col min="1506" max="1506" width="4.85546875" bestFit="1" customWidth="1"/>
    <col min="1507" max="1507" width="5.85546875" bestFit="1" customWidth="1"/>
    <col min="1508" max="1508" width="7.42578125" bestFit="1" customWidth="1"/>
    <col min="1509" max="1509" width="8.140625" bestFit="1" customWidth="1"/>
    <col min="1510" max="1510" width="4.5703125" bestFit="1" customWidth="1"/>
    <col min="1511" max="1511" width="57.5703125" customWidth="1"/>
    <col min="1512" max="1512" width="14.28515625" customWidth="1"/>
    <col min="1513" max="1513" width="0.85546875" customWidth="1"/>
    <col min="1514" max="1514" width="16.5703125" bestFit="1" customWidth="1"/>
    <col min="1515" max="1515" width="13.42578125" bestFit="1" customWidth="1"/>
    <col min="1762" max="1762" width="4.85546875" bestFit="1" customWidth="1"/>
    <col min="1763" max="1763" width="5.85546875" bestFit="1" customWidth="1"/>
    <col min="1764" max="1764" width="7.42578125" bestFit="1" customWidth="1"/>
    <col min="1765" max="1765" width="8.140625" bestFit="1" customWidth="1"/>
    <col min="1766" max="1766" width="4.5703125" bestFit="1" customWidth="1"/>
    <col min="1767" max="1767" width="57.5703125" customWidth="1"/>
    <col min="1768" max="1768" width="14.28515625" customWidth="1"/>
    <col min="1769" max="1769" width="0.85546875" customWidth="1"/>
    <col min="1770" max="1770" width="16.5703125" bestFit="1" customWidth="1"/>
    <col min="1771" max="1771" width="13.42578125" bestFit="1" customWidth="1"/>
    <col min="2018" max="2018" width="4.85546875" bestFit="1" customWidth="1"/>
    <col min="2019" max="2019" width="5.85546875" bestFit="1" customWidth="1"/>
    <col min="2020" max="2020" width="7.42578125" bestFit="1" customWidth="1"/>
    <col min="2021" max="2021" width="8.140625" bestFit="1" customWidth="1"/>
    <col min="2022" max="2022" width="4.5703125" bestFit="1" customWidth="1"/>
    <col min="2023" max="2023" width="57.5703125" customWidth="1"/>
    <col min="2024" max="2024" width="14.28515625" customWidth="1"/>
    <col min="2025" max="2025" width="0.85546875" customWidth="1"/>
    <col min="2026" max="2026" width="16.5703125" bestFit="1" customWidth="1"/>
    <col min="2027" max="2027" width="13.42578125" bestFit="1" customWidth="1"/>
    <col min="2274" max="2274" width="4.85546875" bestFit="1" customWidth="1"/>
    <col min="2275" max="2275" width="5.85546875" bestFit="1" customWidth="1"/>
    <col min="2276" max="2276" width="7.42578125" bestFit="1" customWidth="1"/>
    <col min="2277" max="2277" width="8.140625" bestFit="1" customWidth="1"/>
    <col min="2278" max="2278" width="4.5703125" bestFit="1" customWidth="1"/>
    <col min="2279" max="2279" width="57.5703125" customWidth="1"/>
    <col min="2280" max="2280" width="14.28515625" customWidth="1"/>
    <col min="2281" max="2281" width="0.85546875" customWidth="1"/>
    <col min="2282" max="2282" width="16.5703125" bestFit="1" customWidth="1"/>
    <col min="2283" max="2283" width="13.42578125" bestFit="1" customWidth="1"/>
    <col min="2530" max="2530" width="4.85546875" bestFit="1" customWidth="1"/>
    <col min="2531" max="2531" width="5.85546875" bestFit="1" customWidth="1"/>
    <col min="2532" max="2532" width="7.42578125" bestFit="1" customWidth="1"/>
    <col min="2533" max="2533" width="8.140625" bestFit="1" customWidth="1"/>
    <col min="2534" max="2534" width="4.5703125" bestFit="1" customWidth="1"/>
    <col min="2535" max="2535" width="57.5703125" customWidth="1"/>
    <col min="2536" max="2536" width="14.28515625" customWidth="1"/>
    <col min="2537" max="2537" width="0.85546875" customWidth="1"/>
    <col min="2538" max="2538" width="16.5703125" bestFit="1" customWidth="1"/>
    <col min="2539" max="2539" width="13.42578125" bestFit="1" customWidth="1"/>
    <col min="2786" max="2786" width="4.85546875" bestFit="1" customWidth="1"/>
    <col min="2787" max="2787" width="5.85546875" bestFit="1" customWidth="1"/>
    <col min="2788" max="2788" width="7.42578125" bestFit="1" customWidth="1"/>
    <col min="2789" max="2789" width="8.140625" bestFit="1" customWidth="1"/>
    <col min="2790" max="2790" width="4.5703125" bestFit="1" customWidth="1"/>
    <col min="2791" max="2791" width="57.5703125" customWidth="1"/>
    <col min="2792" max="2792" width="14.28515625" customWidth="1"/>
    <col min="2793" max="2793" width="0.85546875" customWidth="1"/>
    <col min="2794" max="2794" width="16.5703125" bestFit="1" customWidth="1"/>
    <col min="2795" max="2795" width="13.42578125" bestFit="1" customWidth="1"/>
    <col min="3042" max="3042" width="4.85546875" bestFit="1" customWidth="1"/>
    <col min="3043" max="3043" width="5.85546875" bestFit="1" customWidth="1"/>
    <col min="3044" max="3044" width="7.42578125" bestFit="1" customWidth="1"/>
    <col min="3045" max="3045" width="8.140625" bestFit="1" customWidth="1"/>
    <col min="3046" max="3046" width="4.5703125" bestFit="1" customWidth="1"/>
    <col min="3047" max="3047" width="57.5703125" customWidth="1"/>
    <col min="3048" max="3048" width="14.28515625" customWidth="1"/>
    <col min="3049" max="3049" width="0.85546875" customWidth="1"/>
    <col min="3050" max="3050" width="16.5703125" bestFit="1" customWidth="1"/>
    <col min="3051" max="3051" width="13.42578125" bestFit="1" customWidth="1"/>
    <col min="3298" max="3298" width="4.85546875" bestFit="1" customWidth="1"/>
    <col min="3299" max="3299" width="5.85546875" bestFit="1" customWidth="1"/>
    <col min="3300" max="3300" width="7.42578125" bestFit="1" customWidth="1"/>
    <col min="3301" max="3301" width="8.140625" bestFit="1" customWidth="1"/>
    <col min="3302" max="3302" width="4.5703125" bestFit="1" customWidth="1"/>
    <col min="3303" max="3303" width="57.5703125" customWidth="1"/>
    <col min="3304" max="3304" width="14.28515625" customWidth="1"/>
    <col min="3305" max="3305" width="0.85546875" customWidth="1"/>
    <col min="3306" max="3306" width="16.5703125" bestFit="1" customWidth="1"/>
    <col min="3307" max="3307" width="13.42578125" bestFit="1" customWidth="1"/>
    <col min="3554" max="3554" width="4.85546875" bestFit="1" customWidth="1"/>
    <col min="3555" max="3555" width="5.85546875" bestFit="1" customWidth="1"/>
    <col min="3556" max="3556" width="7.42578125" bestFit="1" customWidth="1"/>
    <col min="3557" max="3557" width="8.140625" bestFit="1" customWidth="1"/>
    <col min="3558" max="3558" width="4.5703125" bestFit="1" customWidth="1"/>
    <col min="3559" max="3559" width="57.5703125" customWidth="1"/>
    <col min="3560" max="3560" width="14.28515625" customWidth="1"/>
    <col min="3561" max="3561" width="0.85546875" customWidth="1"/>
    <col min="3562" max="3562" width="16.5703125" bestFit="1" customWidth="1"/>
    <col min="3563" max="3563" width="13.42578125" bestFit="1" customWidth="1"/>
    <col min="3810" max="3810" width="4.85546875" bestFit="1" customWidth="1"/>
    <col min="3811" max="3811" width="5.85546875" bestFit="1" customWidth="1"/>
    <col min="3812" max="3812" width="7.42578125" bestFit="1" customWidth="1"/>
    <col min="3813" max="3813" width="8.140625" bestFit="1" customWidth="1"/>
    <col min="3814" max="3814" width="4.5703125" bestFit="1" customWidth="1"/>
    <col min="3815" max="3815" width="57.5703125" customWidth="1"/>
    <col min="3816" max="3816" width="14.28515625" customWidth="1"/>
    <col min="3817" max="3817" width="0.85546875" customWidth="1"/>
    <col min="3818" max="3818" width="16.5703125" bestFit="1" customWidth="1"/>
    <col min="3819" max="3819" width="13.42578125" bestFit="1" customWidth="1"/>
    <col min="4066" max="4066" width="4.85546875" bestFit="1" customWidth="1"/>
    <col min="4067" max="4067" width="5.85546875" bestFit="1" customWidth="1"/>
    <col min="4068" max="4068" width="7.42578125" bestFit="1" customWidth="1"/>
    <col min="4069" max="4069" width="8.140625" bestFit="1" customWidth="1"/>
    <col min="4070" max="4070" width="4.5703125" bestFit="1" customWidth="1"/>
    <col min="4071" max="4071" width="57.5703125" customWidth="1"/>
    <col min="4072" max="4072" width="14.28515625" customWidth="1"/>
    <col min="4073" max="4073" width="0.85546875" customWidth="1"/>
    <col min="4074" max="4074" width="16.5703125" bestFit="1" customWidth="1"/>
    <col min="4075" max="4075" width="13.42578125" bestFit="1" customWidth="1"/>
    <col min="4322" max="4322" width="4.85546875" bestFit="1" customWidth="1"/>
    <col min="4323" max="4323" width="5.85546875" bestFit="1" customWidth="1"/>
    <col min="4324" max="4324" width="7.42578125" bestFit="1" customWidth="1"/>
    <col min="4325" max="4325" width="8.140625" bestFit="1" customWidth="1"/>
    <col min="4326" max="4326" width="4.5703125" bestFit="1" customWidth="1"/>
    <col min="4327" max="4327" width="57.5703125" customWidth="1"/>
    <col min="4328" max="4328" width="14.28515625" customWidth="1"/>
    <col min="4329" max="4329" width="0.85546875" customWidth="1"/>
    <col min="4330" max="4330" width="16.5703125" bestFit="1" customWidth="1"/>
    <col min="4331" max="4331" width="13.42578125" bestFit="1" customWidth="1"/>
    <col min="4578" max="4578" width="4.85546875" bestFit="1" customWidth="1"/>
    <col min="4579" max="4579" width="5.85546875" bestFit="1" customWidth="1"/>
    <col min="4580" max="4580" width="7.42578125" bestFit="1" customWidth="1"/>
    <col min="4581" max="4581" width="8.140625" bestFit="1" customWidth="1"/>
    <col min="4582" max="4582" width="4.5703125" bestFit="1" customWidth="1"/>
    <col min="4583" max="4583" width="57.5703125" customWidth="1"/>
    <col min="4584" max="4584" width="14.28515625" customWidth="1"/>
    <col min="4585" max="4585" width="0.85546875" customWidth="1"/>
    <col min="4586" max="4586" width="16.5703125" bestFit="1" customWidth="1"/>
    <col min="4587" max="4587" width="13.42578125" bestFit="1" customWidth="1"/>
    <col min="4834" max="4834" width="4.85546875" bestFit="1" customWidth="1"/>
    <col min="4835" max="4835" width="5.85546875" bestFit="1" customWidth="1"/>
    <col min="4836" max="4836" width="7.42578125" bestFit="1" customWidth="1"/>
    <col min="4837" max="4837" width="8.140625" bestFit="1" customWidth="1"/>
    <col min="4838" max="4838" width="4.5703125" bestFit="1" customWidth="1"/>
    <col min="4839" max="4839" width="57.5703125" customWidth="1"/>
    <col min="4840" max="4840" width="14.28515625" customWidth="1"/>
    <col min="4841" max="4841" width="0.85546875" customWidth="1"/>
    <col min="4842" max="4842" width="16.5703125" bestFit="1" customWidth="1"/>
    <col min="4843" max="4843" width="13.42578125" bestFit="1" customWidth="1"/>
    <col min="5090" max="5090" width="4.85546875" bestFit="1" customWidth="1"/>
    <col min="5091" max="5091" width="5.85546875" bestFit="1" customWidth="1"/>
    <col min="5092" max="5092" width="7.42578125" bestFit="1" customWidth="1"/>
    <col min="5093" max="5093" width="8.140625" bestFit="1" customWidth="1"/>
    <col min="5094" max="5094" width="4.5703125" bestFit="1" customWidth="1"/>
    <col min="5095" max="5095" width="57.5703125" customWidth="1"/>
    <col min="5096" max="5096" width="14.28515625" customWidth="1"/>
    <col min="5097" max="5097" width="0.85546875" customWidth="1"/>
    <col min="5098" max="5098" width="16.5703125" bestFit="1" customWidth="1"/>
    <col min="5099" max="5099" width="13.42578125" bestFit="1" customWidth="1"/>
    <col min="5346" max="5346" width="4.85546875" bestFit="1" customWidth="1"/>
    <col min="5347" max="5347" width="5.85546875" bestFit="1" customWidth="1"/>
    <col min="5348" max="5348" width="7.42578125" bestFit="1" customWidth="1"/>
    <col min="5349" max="5349" width="8.140625" bestFit="1" customWidth="1"/>
    <col min="5350" max="5350" width="4.5703125" bestFit="1" customWidth="1"/>
    <col min="5351" max="5351" width="57.5703125" customWidth="1"/>
    <col min="5352" max="5352" width="14.28515625" customWidth="1"/>
    <col min="5353" max="5353" width="0.85546875" customWidth="1"/>
    <col min="5354" max="5354" width="16.5703125" bestFit="1" customWidth="1"/>
    <col min="5355" max="5355" width="13.42578125" bestFit="1" customWidth="1"/>
    <col min="5602" max="5602" width="4.85546875" bestFit="1" customWidth="1"/>
    <col min="5603" max="5603" width="5.85546875" bestFit="1" customWidth="1"/>
    <col min="5604" max="5604" width="7.42578125" bestFit="1" customWidth="1"/>
    <col min="5605" max="5605" width="8.140625" bestFit="1" customWidth="1"/>
    <col min="5606" max="5606" width="4.5703125" bestFit="1" customWidth="1"/>
    <col min="5607" max="5607" width="57.5703125" customWidth="1"/>
    <col min="5608" max="5608" width="14.28515625" customWidth="1"/>
    <col min="5609" max="5609" width="0.85546875" customWidth="1"/>
    <col min="5610" max="5610" width="16.5703125" bestFit="1" customWidth="1"/>
    <col min="5611" max="5611" width="13.42578125" bestFit="1" customWidth="1"/>
    <col min="5858" max="5858" width="4.85546875" bestFit="1" customWidth="1"/>
    <col min="5859" max="5859" width="5.85546875" bestFit="1" customWidth="1"/>
    <col min="5860" max="5860" width="7.42578125" bestFit="1" customWidth="1"/>
    <col min="5861" max="5861" width="8.140625" bestFit="1" customWidth="1"/>
    <col min="5862" max="5862" width="4.5703125" bestFit="1" customWidth="1"/>
    <col min="5863" max="5863" width="57.5703125" customWidth="1"/>
    <col min="5864" max="5864" width="14.28515625" customWidth="1"/>
    <col min="5865" max="5865" width="0.85546875" customWidth="1"/>
    <col min="5866" max="5866" width="16.5703125" bestFit="1" customWidth="1"/>
    <col min="5867" max="5867" width="13.42578125" bestFit="1" customWidth="1"/>
    <col min="6114" max="6114" width="4.85546875" bestFit="1" customWidth="1"/>
    <col min="6115" max="6115" width="5.85546875" bestFit="1" customWidth="1"/>
    <col min="6116" max="6116" width="7.42578125" bestFit="1" customWidth="1"/>
    <col min="6117" max="6117" width="8.140625" bestFit="1" customWidth="1"/>
    <col min="6118" max="6118" width="4.5703125" bestFit="1" customWidth="1"/>
    <col min="6119" max="6119" width="57.5703125" customWidth="1"/>
    <col min="6120" max="6120" width="14.28515625" customWidth="1"/>
    <col min="6121" max="6121" width="0.85546875" customWidth="1"/>
    <col min="6122" max="6122" width="16.5703125" bestFit="1" customWidth="1"/>
    <col min="6123" max="6123" width="13.42578125" bestFit="1" customWidth="1"/>
    <col min="6370" max="6370" width="4.85546875" bestFit="1" customWidth="1"/>
    <col min="6371" max="6371" width="5.85546875" bestFit="1" customWidth="1"/>
    <col min="6372" max="6372" width="7.42578125" bestFit="1" customWidth="1"/>
    <col min="6373" max="6373" width="8.140625" bestFit="1" customWidth="1"/>
    <col min="6374" max="6374" width="4.5703125" bestFit="1" customWidth="1"/>
    <col min="6375" max="6375" width="57.5703125" customWidth="1"/>
    <col min="6376" max="6376" width="14.28515625" customWidth="1"/>
    <col min="6377" max="6377" width="0.85546875" customWidth="1"/>
    <col min="6378" max="6378" width="16.5703125" bestFit="1" customWidth="1"/>
    <col min="6379" max="6379" width="13.42578125" bestFit="1" customWidth="1"/>
    <col min="6626" max="6626" width="4.85546875" bestFit="1" customWidth="1"/>
    <col min="6627" max="6627" width="5.85546875" bestFit="1" customWidth="1"/>
    <col min="6628" max="6628" width="7.42578125" bestFit="1" customWidth="1"/>
    <col min="6629" max="6629" width="8.140625" bestFit="1" customWidth="1"/>
    <col min="6630" max="6630" width="4.5703125" bestFit="1" customWidth="1"/>
    <col min="6631" max="6631" width="57.5703125" customWidth="1"/>
    <col min="6632" max="6632" width="14.28515625" customWidth="1"/>
    <col min="6633" max="6633" width="0.85546875" customWidth="1"/>
    <col min="6634" max="6634" width="16.5703125" bestFit="1" customWidth="1"/>
    <col min="6635" max="6635" width="13.42578125" bestFit="1" customWidth="1"/>
    <col min="6882" max="6882" width="4.85546875" bestFit="1" customWidth="1"/>
    <col min="6883" max="6883" width="5.85546875" bestFit="1" customWidth="1"/>
    <col min="6884" max="6884" width="7.42578125" bestFit="1" customWidth="1"/>
    <col min="6885" max="6885" width="8.140625" bestFit="1" customWidth="1"/>
    <col min="6886" max="6886" width="4.5703125" bestFit="1" customWidth="1"/>
    <col min="6887" max="6887" width="57.5703125" customWidth="1"/>
    <col min="6888" max="6888" width="14.28515625" customWidth="1"/>
    <col min="6889" max="6889" width="0.85546875" customWidth="1"/>
    <col min="6890" max="6890" width="16.5703125" bestFit="1" customWidth="1"/>
    <col min="6891" max="6891" width="13.42578125" bestFit="1" customWidth="1"/>
    <col min="7138" max="7138" width="4.85546875" bestFit="1" customWidth="1"/>
    <col min="7139" max="7139" width="5.85546875" bestFit="1" customWidth="1"/>
    <col min="7140" max="7140" width="7.42578125" bestFit="1" customWidth="1"/>
    <col min="7141" max="7141" width="8.140625" bestFit="1" customWidth="1"/>
    <col min="7142" max="7142" width="4.5703125" bestFit="1" customWidth="1"/>
    <col min="7143" max="7143" width="57.5703125" customWidth="1"/>
    <col min="7144" max="7144" width="14.28515625" customWidth="1"/>
    <col min="7145" max="7145" width="0.85546875" customWidth="1"/>
    <col min="7146" max="7146" width="16.5703125" bestFit="1" customWidth="1"/>
    <col min="7147" max="7147" width="13.42578125" bestFit="1" customWidth="1"/>
    <col min="7394" max="7394" width="4.85546875" bestFit="1" customWidth="1"/>
    <col min="7395" max="7395" width="5.85546875" bestFit="1" customWidth="1"/>
    <col min="7396" max="7396" width="7.42578125" bestFit="1" customWidth="1"/>
    <col min="7397" max="7397" width="8.140625" bestFit="1" customWidth="1"/>
    <col min="7398" max="7398" width="4.5703125" bestFit="1" customWidth="1"/>
    <col min="7399" max="7399" width="57.5703125" customWidth="1"/>
    <col min="7400" max="7400" width="14.28515625" customWidth="1"/>
    <col min="7401" max="7401" width="0.85546875" customWidth="1"/>
    <col min="7402" max="7402" width="16.5703125" bestFit="1" customWidth="1"/>
    <col min="7403" max="7403" width="13.42578125" bestFit="1" customWidth="1"/>
    <col min="7650" max="7650" width="4.85546875" bestFit="1" customWidth="1"/>
    <col min="7651" max="7651" width="5.85546875" bestFit="1" customWidth="1"/>
    <col min="7652" max="7652" width="7.42578125" bestFit="1" customWidth="1"/>
    <col min="7653" max="7653" width="8.140625" bestFit="1" customWidth="1"/>
    <col min="7654" max="7654" width="4.5703125" bestFit="1" customWidth="1"/>
    <col min="7655" max="7655" width="57.5703125" customWidth="1"/>
    <col min="7656" max="7656" width="14.28515625" customWidth="1"/>
    <col min="7657" max="7657" width="0.85546875" customWidth="1"/>
    <col min="7658" max="7658" width="16.5703125" bestFit="1" customWidth="1"/>
    <col min="7659" max="7659" width="13.42578125" bestFit="1" customWidth="1"/>
    <col min="7906" max="7906" width="4.85546875" bestFit="1" customWidth="1"/>
    <col min="7907" max="7907" width="5.85546875" bestFit="1" customWidth="1"/>
    <col min="7908" max="7908" width="7.42578125" bestFit="1" customWidth="1"/>
    <col min="7909" max="7909" width="8.140625" bestFit="1" customWidth="1"/>
    <col min="7910" max="7910" width="4.5703125" bestFit="1" customWidth="1"/>
    <col min="7911" max="7911" width="57.5703125" customWidth="1"/>
    <col min="7912" max="7912" width="14.28515625" customWidth="1"/>
    <col min="7913" max="7913" width="0.85546875" customWidth="1"/>
    <col min="7914" max="7914" width="16.5703125" bestFit="1" customWidth="1"/>
    <col min="7915" max="7915" width="13.42578125" bestFit="1" customWidth="1"/>
    <col min="8162" max="8162" width="4.85546875" bestFit="1" customWidth="1"/>
    <col min="8163" max="8163" width="5.85546875" bestFit="1" customWidth="1"/>
    <col min="8164" max="8164" width="7.42578125" bestFit="1" customWidth="1"/>
    <col min="8165" max="8165" width="8.140625" bestFit="1" customWidth="1"/>
    <col min="8166" max="8166" width="4.5703125" bestFit="1" customWidth="1"/>
    <col min="8167" max="8167" width="57.5703125" customWidth="1"/>
    <col min="8168" max="8168" width="14.28515625" customWidth="1"/>
    <col min="8169" max="8169" width="0.85546875" customWidth="1"/>
    <col min="8170" max="8170" width="16.5703125" bestFit="1" customWidth="1"/>
    <col min="8171" max="8171" width="13.42578125" bestFit="1" customWidth="1"/>
    <col min="8418" max="8418" width="4.85546875" bestFit="1" customWidth="1"/>
    <col min="8419" max="8419" width="5.85546875" bestFit="1" customWidth="1"/>
    <col min="8420" max="8420" width="7.42578125" bestFit="1" customWidth="1"/>
    <col min="8421" max="8421" width="8.140625" bestFit="1" customWidth="1"/>
    <col min="8422" max="8422" width="4.5703125" bestFit="1" customWidth="1"/>
    <col min="8423" max="8423" width="57.5703125" customWidth="1"/>
    <col min="8424" max="8424" width="14.28515625" customWidth="1"/>
    <col min="8425" max="8425" width="0.85546875" customWidth="1"/>
    <col min="8426" max="8426" width="16.5703125" bestFit="1" customWidth="1"/>
    <col min="8427" max="8427" width="13.42578125" bestFit="1" customWidth="1"/>
    <col min="8674" max="8674" width="4.85546875" bestFit="1" customWidth="1"/>
    <col min="8675" max="8675" width="5.85546875" bestFit="1" customWidth="1"/>
    <col min="8676" max="8676" width="7.42578125" bestFit="1" customWidth="1"/>
    <col min="8677" max="8677" width="8.140625" bestFit="1" customWidth="1"/>
    <col min="8678" max="8678" width="4.5703125" bestFit="1" customWidth="1"/>
    <col min="8679" max="8679" width="57.5703125" customWidth="1"/>
    <col min="8680" max="8680" width="14.28515625" customWidth="1"/>
    <col min="8681" max="8681" width="0.85546875" customWidth="1"/>
    <col min="8682" max="8682" width="16.5703125" bestFit="1" customWidth="1"/>
    <col min="8683" max="8683" width="13.42578125" bestFit="1" customWidth="1"/>
    <col min="8930" max="8930" width="4.85546875" bestFit="1" customWidth="1"/>
    <col min="8931" max="8931" width="5.85546875" bestFit="1" customWidth="1"/>
    <col min="8932" max="8932" width="7.42578125" bestFit="1" customWidth="1"/>
    <col min="8933" max="8933" width="8.140625" bestFit="1" customWidth="1"/>
    <col min="8934" max="8934" width="4.5703125" bestFit="1" customWidth="1"/>
    <col min="8935" max="8935" width="57.5703125" customWidth="1"/>
    <col min="8936" max="8936" width="14.28515625" customWidth="1"/>
    <col min="8937" max="8937" width="0.85546875" customWidth="1"/>
    <col min="8938" max="8938" width="16.5703125" bestFit="1" customWidth="1"/>
    <col min="8939" max="8939" width="13.42578125" bestFit="1" customWidth="1"/>
    <col min="9186" max="9186" width="4.85546875" bestFit="1" customWidth="1"/>
    <col min="9187" max="9187" width="5.85546875" bestFit="1" customWidth="1"/>
    <col min="9188" max="9188" width="7.42578125" bestFit="1" customWidth="1"/>
    <col min="9189" max="9189" width="8.140625" bestFit="1" customWidth="1"/>
    <col min="9190" max="9190" width="4.5703125" bestFit="1" customWidth="1"/>
    <col min="9191" max="9191" width="57.5703125" customWidth="1"/>
    <col min="9192" max="9192" width="14.28515625" customWidth="1"/>
    <col min="9193" max="9193" width="0.85546875" customWidth="1"/>
    <col min="9194" max="9194" width="16.5703125" bestFit="1" customWidth="1"/>
    <col min="9195" max="9195" width="13.42578125" bestFit="1" customWidth="1"/>
    <col min="9442" max="9442" width="4.85546875" bestFit="1" customWidth="1"/>
    <col min="9443" max="9443" width="5.85546875" bestFit="1" customWidth="1"/>
    <col min="9444" max="9444" width="7.42578125" bestFit="1" customWidth="1"/>
    <col min="9445" max="9445" width="8.140625" bestFit="1" customWidth="1"/>
    <col min="9446" max="9446" width="4.5703125" bestFit="1" customWidth="1"/>
    <col min="9447" max="9447" width="57.5703125" customWidth="1"/>
    <col min="9448" max="9448" width="14.28515625" customWidth="1"/>
    <col min="9449" max="9449" width="0.85546875" customWidth="1"/>
    <col min="9450" max="9450" width="16.5703125" bestFit="1" customWidth="1"/>
    <col min="9451" max="9451" width="13.42578125" bestFit="1" customWidth="1"/>
    <col min="9698" max="9698" width="4.85546875" bestFit="1" customWidth="1"/>
    <col min="9699" max="9699" width="5.85546875" bestFit="1" customWidth="1"/>
    <col min="9700" max="9700" width="7.42578125" bestFit="1" customWidth="1"/>
    <col min="9701" max="9701" width="8.140625" bestFit="1" customWidth="1"/>
    <col min="9702" max="9702" width="4.5703125" bestFit="1" customWidth="1"/>
    <col min="9703" max="9703" width="57.5703125" customWidth="1"/>
    <col min="9704" max="9704" width="14.28515625" customWidth="1"/>
    <col min="9705" max="9705" width="0.85546875" customWidth="1"/>
    <col min="9706" max="9706" width="16.5703125" bestFit="1" customWidth="1"/>
    <col min="9707" max="9707" width="13.42578125" bestFit="1" customWidth="1"/>
    <col min="9954" max="9954" width="4.85546875" bestFit="1" customWidth="1"/>
    <col min="9955" max="9955" width="5.85546875" bestFit="1" customWidth="1"/>
    <col min="9956" max="9956" width="7.42578125" bestFit="1" customWidth="1"/>
    <col min="9957" max="9957" width="8.140625" bestFit="1" customWidth="1"/>
    <col min="9958" max="9958" width="4.5703125" bestFit="1" customWidth="1"/>
    <col min="9959" max="9959" width="57.5703125" customWidth="1"/>
    <col min="9960" max="9960" width="14.28515625" customWidth="1"/>
    <col min="9961" max="9961" width="0.85546875" customWidth="1"/>
    <col min="9962" max="9962" width="16.5703125" bestFit="1" customWidth="1"/>
    <col min="9963" max="9963" width="13.42578125" bestFit="1" customWidth="1"/>
    <col min="10210" max="10210" width="4.85546875" bestFit="1" customWidth="1"/>
    <col min="10211" max="10211" width="5.85546875" bestFit="1" customWidth="1"/>
    <col min="10212" max="10212" width="7.42578125" bestFit="1" customWidth="1"/>
    <col min="10213" max="10213" width="8.140625" bestFit="1" customWidth="1"/>
    <col min="10214" max="10214" width="4.5703125" bestFit="1" customWidth="1"/>
    <col min="10215" max="10215" width="57.5703125" customWidth="1"/>
    <col min="10216" max="10216" width="14.28515625" customWidth="1"/>
    <col min="10217" max="10217" width="0.85546875" customWidth="1"/>
    <col min="10218" max="10218" width="16.5703125" bestFit="1" customWidth="1"/>
    <col min="10219" max="10219" width="13.42578125" bestFit="1" customWidth="1"/>
    <col min="10466" max="10466" width="4.85546875" bestFit="1" customWidth="1"/>
    <col min="10467" max="10467" width="5.85546875" bestFit="1" customWidth="1"/>
    <col min="10468" max="10468" width="7.42578125" bestFit="1" customWidth="1"/>
    <col min="10469" max="10469" width="8.140625" bestFit="1" customWidth="1"/>
    <col min="10470" max="10470" width="4.5703125" bestFit="1" customWidth="1"/>
    <col min="10471" max="10471" width="57.5703125" customWidth="1"/>
    <col min="10472" max="10472" width="14.28515625" customWidth="1"/>
    <col min="10473" max="10473" width="0.85546875" customWidth="1"/>
    <col min="10474" max="10474" width="16.5703125" bestFit="1" customWidth="1"/>
    <col min="10475" max="10475" width="13.42578125" bestFit="1" customWidth="1"/>
    <col min="10722" max="10722" width="4.85546875" bestFit="1" customWidth="1"/>
    <col min="10723" max="10723" width="5.85546875" bestFit="1" customWidth="1"/>
    <col min="10724" max="10724" width="7.42578125" bestFit="1" customWidth="1"/>
    <col min="10725" max="10725" width="8.140625" bestFit="1" customWidth="1"/>
    <col min="10726" max="10726" width="4.5703125" bestFit="1" customWidth="1"/>
    <col min="10727" max="10727" width="57.5703125" customWidth="1"/>
    <col min="10728" max="10728" width="14.28515625" customWidth="1"/>
    <col min="10729" max="10729" width="0.85546875" customWidth="1"/>
    <col min="10730" max="10730" width="16.5703125" bestFit="1" customWidth="1"/>
    <col min="10731" max="10731" width="13.42578125" bestFit="1" customWidth="1"/>
    <col min="10978" max="10978" width="4.85546875" bestFit="1" customWidth="1"/>
    <col min="10979" max="10979" width="5.85546875" bestFit="1" customWidth="1"/>
    <col min="10980" max="10980" width="7.42578125" bestFit="1" customWidth="1"/>
    <col min="10981" max="10981" width="8.140625" bestFit="1" customWidth="1"/>
    <col min="10982" max="10982" width="4.5703125" bestFit="1" customWidth="1"/>
    <col min="10983" max="10983" width="57.5703125" customWidth="1"/>
    <col min="10984" max="10984" width="14.28515625" customWidth="1"/>
    <col min="10985" max="10985" width="0.85546875" customWidth="1"/>
    <col min="10986" max="10986" width="16.5703125" bestFit="1" customWidth="1"/>
    <col min="10987" max="10987" width="13.42578125" bestFit="1" customWidth="1"/>
    <col min="11234" max="11234" width="4.85546875" bestFit="1" customWidth="1"/>
    <col min="11235" max="11235" width="5.85546875" bestFit="1" customWidth="1"/>
    <col min="11236" max="11236" width="7.42578125" bestFit="1" customWidth="1"/>
    <col min="11237" max="11237" width="8.140625" bestFit="1" customWidth="1"/>
    <col min="11238" max="11238" width="4.5703125" bestFit="1" customWidth="1"/>
    <col min="11239" max="11239" width="57.5703125" customWidth="1"/>
    <col min="11240" max="11240" width="14.28515625" customWidth="1"/>
    <col min="11241" max="11241" width="0.85546875" customWidth="1"/>
    <col min="11242" max="11242" width="16.5703125" bestFit="1" customWidth="1"/>
    <col min="11243" max="11243" width="13.42578125" bestFit="1" customWidth="1"/>
    <col min="11490" max="11490" width="4.85546875" bestFit="1" customWidth="1"/>
    <col min="11491" max="11491" width="5.85546875" bestFit="1" customWidth="1"/>
    <col min="11492" max="11492" width="7.42578125" bestFit="1" customWidth="1"/>
    <col min="11493" max="11493" width="8.140625" bestFit="1" customWidth="1"/>
    <col min="11494" max="11494" width="4.5703125" bestFit="1" customWidth="1"/>
    <col min="11495" max="11495" width="57.5703125" customWidth="1"/>
    <col min="11496" max="11496" width="14.28515625" customWidth="1"/>
    <col min="11497" max="11497" width="0.85546875" customWidth="1"/>
    <col min="11498" max="11498" width="16.5703125" bestFit="1" customWidth="1"/>
    <col min="11499" max="11499" width="13.42578125" bestFit="1" customWidth="1"/>
    <col min="11746" max="11746" width="4.85546875" bestFit="1" customWidth="1"/>
    <col min="11747" max="11747" width="5.85546875" bestFit="1" customWidth="1"/>
    <col min="11748" max="11748" width="7.42578125" bestFit="1" customWidth="1"/>
    <col min="11749" max="11749" width="8.140625" bestFit="1" customWidth="1"/>
    <col min="11750" max="11750" width="4.5703125" bestFit="1" customWidth="1"/>
    <col min="11751" max="11751" width="57.5703125" customWidth="1"/>
    <col min="11752" max="11752" width="14.28515625" customWidth="1"/>
    <col min="11753" max="11753" width="0.85546875" customWidth="1"/>
    <col min="11754" max="11754" width="16.5703125" bestFit="1" customWidth="1"/>
    <col min="11755" max="11755" width="13.42578125" bestFit="1" customWidth="1"/>
    <col min="12002" max="12002" width="4.85546875" bestFit="1" customWidth="1"/>
    <col min="12003" max="12003" width="5.85546875" bestFit="1" customWidth="1"/>
    <col min="12004" max="12004" width="7.42578125" bestFit="1" customWidth="1"/>
    <col min="12005" max="12005" width="8.140625" bestFit="1" customWidth="1"/>
    <col min="12006" max="12006" width="4.5703125" bestFit="1" customWidth="1"/>
    <col min="12007" max="12007" width="57.5703125" customWidth="1"/>
    <col min="12008" max="12008" width="14.28515625" customWidth="1"/>
    <col min="12009" max="12009" width="0.85546875" customWidth="1"/>
    <col min="12010" max="12010" width="16.5703125" bestFit="1" customWidth="1"/>
    <col min="12011" max="12011" width="13.42578125" bestFit="1" customWidth="1"/>
    <col min="12258" max="12258" width="4.85546875" bestFit="1" customWidth="1"/>
    <col min="12259" max="12259" width="5.85546875" bestFit="1" customWidth="1"/>
    <col min="12260" max="12260" width="7.42578125" bestFit="1" customWidth="1"/>
    <col min="12261" max="12261" width="8.140625" bestFit="1" customWidth="1"/>
    <col min="12262" max="12262" width="4.5703125" bestFit="1" customWidth="1"/>
    <col min="12263" max="12263" width="57.5703125" customWidth="1"/>
    <col min="12264" max="12264" width="14.28515625" customWidth="1"/>
    <col min="12265" max="12265" width="0.85546875" customWidth="1"/>
    <col min="12266" max="12266" width="16.5703125" bestFit="1" customWidth="1"/>
    <col min="12267" max="12267" width="13.42578125" bestFit="1" customWidth="1"/>
    <col min="12514" max="12514" width="4.85546875" bestFit="1" customWidth="1"/>
    <col min="12515" max="12515" width="5.85546875" bestFit="1" customWidth="1"/>
    <col min="12516" max="12516" width="7.42578125" bestFit="1" customWidth="1"/>
    <col min="12517" max="12517" width="8.140625" bestFit="1" customWidth="1"/>
    <col min="12518" max="12518" width="4.5703125" bestFit="1" customWidth="1"/>
    <col min="12519" max="12519" width="57.5703125" customWidth="1"/>
    <col min="12520" max="12520" width="14.28515625" customWidth="1"/>
    <col min="12521" max="12521" width="0.85546875" customWidth="1"/>
    <col min="12522" max="12522" width="16.5703125" bestFit="1" customWidth="1"/>
    <col min="12523" max="12523" width="13.42578125" bestFit="1" customWidth="1"/>
    <col min="12770" max="12770" width="4.85546875" bestFit="1" customWidth="1"/>
    <col min="12771" max="12771" width="5.85546875" bestFit="1" customWidth="1"/>
    <col min="12772" max="12772" width="7.42578125" bestFit="1" customWidth="1"/>
    <col min="12773" max="12773" width="8.140625" bestFit="1" customWidth="1"/>
    <col min="12774" max="12774" width="4.5703125" bestFit="1" customWidth="1"/>
    <col min="12775" max="12775" width="57.5703125" customWidth="1"/>
    <col min="12776" max="12776" width="14.28515625" customWidth="1"/>
    <col min="12777" max="12777" width="0.85546875" customWidth="1"/>
    <col min="12778" max="12778" width="16.5703125" bestFit="1" customWidth="1"/>
    <col min="12779" max="12779" width="13.42578125" bestFit="1" customWidth="1"/>
    <col min="13026" max="13026" width="4.85546875" bestFit="1" customWidth="1"/>
    <col min="13027" max="13027" width="5.85546875" bestFit="1" customWidth="1"/>
    <col min="13028" max="13028" width="7.42578125" bestFit="1" customWidth="1"/>
    <col min="13029" max="13029" width="8.140625" bestFit="1" customWidth="1"/>
    <col min="13030" max="13030" width="4.5703125" bestFit="1" customWidth="1"/>
    <col min="13031" max="13031" width="57.5703125" customWidth="1"/>
    <col min="13032" max="13032" width="14.28515625" customWidth="1"/>
    <col min="13033" max="13033" width="0.85546875" customWidth="1"/>
    <col min="13034" max="13034" width="16.5703125" bestFit="1" customWidth="1"/>
    <col min="13035" max="13035" width="13.42578125" bestFit="1" customWidth="1"/>
    <col min="13282" max="13282" width="4.85546875" bestFit="1" customWidth="1"/>
    <col min="13283" max="13283" width="5.85546875" bestFit="1" customWidth="1"/>
    <col min="13284" max="13284" width="7.42578125" bestFit="1" customWidth="1"/>
    <col min="13285" max="13285" width="8.140625" bestFit="1" customWidth="1"/>
    <col min="13286" max="13286" width="4.5703125" bestFit="1" customWidth="1"/>
    <col min="13287" max="13287" width="57.5703125" customWidth="1"/>
    <col min="13288" max="13288" width="14.28515625" customWidth="1"/>
    <col min="13289" max="13289" width="0.85546875" customWidth="1"/>
    <col min="13290" max="13290" width="16.5703125" bestFit="1" customWidth="1"/>
    <col min="13291" max="13291" width="13.42578125" bestFit="1" customWidth="1"/>
    <col min="13538" max="13538" width="4.85546875" bestFit="1" customWidth="1"/>
    <col min="13539" max="13539" width="5.85546875" bestFit="1" customWidth="1"/>
    <col min="13540" max="13540" width="7.42578125" bestFit="1" customWidth="1"/>
    <col min="13541" max="13541" width="8.140625" bestFit="1" customWidth="1"/>
    <col min="13542" max="13542" width="4.5703125" bestFit="1" customWidth="1"/>
    <col min="13543" max="13543" width="57.5703125" customWidth="1"/>
    <col min="13544" max="13544" width="14.28515625" customWidth="1"/>
    <col min="13545" max="13545" width="0.85546875" customWidth="1"/>
    <col min="13546" max="13546" width="16.5703125" bestFit="1" customWidth="1"/>
    <col min="13547" max="13547" width="13.42578125" bestFit="1" customWidth="1"/>
    <col min="13794" max="13794" width="4.85546875" bestFit="1" customWidth="1"/>
    <col min="13795" max="13795" width="5.85546875" bestFit="1" customWidth="1"/>
    <col min="13796" max="13796" width="7.42578125" bestFit="1" customWidth="1"/>
    <col min="13797" max="13797" width="8.140625" bestFit="1" customWidth="1"/>
    <col min="13798" max="13798" width="4.5703125" bestFit="1" customWidth="1"/>
    <col min="13799" max="13799" width="57.5703125" customWidth="1"/>
    <col min="13800" max="13800" width="14.28515625" customWidth="1"/>
    <col min="13801" max="13801" width="0.85546875" customWidth="1"/>
    <col min="13802" max="13802" width="16.5703125" bestFit="1" customWidth="1"/>
    <col min="13803" max="13803" width="13.42578125" bestFit="1" customWidth="1"/>
    <col min="14050" max="14050" width="4.85546875" bestFit="1" customWidth="1"/>
    <col min="14051" max="14051" width="5.85546875" bestFit="1" customWidth="1"/>
    <col min="14052" max="14052" width="7.42578125" bestFit="1" customWidth="1"/>
    <col min="14053" max="14053" width="8.140625" bestFit="1" customWidth="1"/>
    <col min="14054" max="14054" width="4.5703125" bestFit="1" customWidth="1"/>
    <col min="14055" max="14055" width="57.5703125" customWidth="1"/>
    <col min="14056" max="14056" width="14.28515625" customWidth="1"/>
    <col min="14057" max="14057" width="0.85546875" customWidth="1"/>
    <col min="14058" max="14058" width="16.5703125" bestFit="1" customWidth="1"/>
    <col min="14059" max="14059" width="13.42578125" bestFit="1" customWidth="1"/>
    <col min="14306" max="14306" width="4.85546875" bestFit="1" customWidth="1"/>
    <col min="14307" max="14307" width="5.85546875" bestFit="1" customWidth="1"/>
    <col min="14308" max="14308" width="7.42578125" bestFit="1" customWidth="1"/>
    <col min="14309" max="14309" width="8.140625" bestFit="1" customWidth="1"/>
    <col min="14310" max="14310" width="4.5703125" bestFit="1" customWidth="1"/>
    <col min="14311" max="14311" width="57.5703125" customWidth="1"/>
    <col min="14312" max="14312" width="14.28515625" customWidth="1"/>
    <col min="14313" max="14313" width="0.85546875" customWidth="1"/>
    <col min="14314" max="14314" width="16.5703125" bestFit="1" customWidth="1"/>
    <col min="14315" max="14315" width="13.42578125" bestFit="1" customWidth="1"/>
    <col min="14562" max="14562" width="4.85546875" bestFit="1" customWidth="1"/>
    <col min="14563" max="14563" width="5.85546875" bestFit="1" customWidth="1"/>
    <col min="14564" max="14564" width="7.42578125" bestFit="1" customWidth="1"/>
    <col min="14565" max="14565" width="8.140625" bestFit="1" customWidth="1"/>
    <col min="14566" max="14566" width="4.5703125" bestFit="1" customWidth="1"/>
    <col min="14567" max="14567" width="57.5703125" customWidth="1"/>
    <col min="14568" max="14568" width="14.28515625" customWidth="1"/>
    <col min="14569" max="14569" width="0.85546875" customWidth="1"/>
    <col min="14570" max="14570" width="16.5703125" bestFit="1" customWidth="1"/>
    <col min="14571" max="14571" width="13.42578125" bestFit="1" customWidth="1"/>
    <col min="14818" max="14818" width="4.85546875" bestFit="1" customWidth="1"/>
    <col min="14819" max="14819" width="5.85546875" bestFit="1" customWidth="1"/>
    <col min="14820" max="14820" width="7.42578125" bestFit="1" customWidth="1"/>
    <col min="14821" max="14821" width="8.140625" bestFit="1" customWidth="1"/>
    <col min="14822" max="14822" width="4.5703125" bestFit="1" customWidth="1"/>
    <col min="14823" max="14823" width="57.5703125" customWidth="1"/>
    <col min="14824" max="14824" width="14.28515625" customWidth="1"/>
    <col min="14825" max="14825" width="0.85546875" customWidth="1"/>
    <col min="14826" max="14826" width="16.5703125" bestFit="1" customWidth="1"/>
    <col min="14827" max="14827" width="13.42578125" bestFit="1" customWidth="1"/>
    <col min="15074" max="15074" width="4.85546875" bestFit="1" customWidth="1"/>
    <col min="15075" max="15075" width="5.85546875" bestFit="1" customWidth="1"/>
    <col min="15076" max="15076" width="7.42578125" bestFit="1" customWidth="1"/>
    <col min="15077" max="15077" width="8.140625" bestFit="1" customWidth="1"/>
    <col min="15078" max="15078" width="4.5703125" bestFit="1" customWidth="1"/>
    <col min="15079" max="15079" width="57.5703125" customWidth="1"/>
    <col min="15080" max="15080" width="14.28515625" customWidth="1"/>
    <col min="15081" max="15081" width="0.85546875" customWidth="1"/>
    <col min="15082" max="15082" width="16.5703125" bestFit="1" customWidth="1"/>
    <col min="15083" max="15083" width="13.42578125" bestFit="1" customWidth="1"/>
    <col min="15330" max="15330" width="4.85546875" bestFit="1" customWidth="1"/>
    <col min="15331" max="15331" width="5.85546875" bestFit="1" customWidth="1"/>
    <col min="15332" max="15332" width="7.42578125" bestFit="1" customWidth="1"/>
    <col min="15333" max="15333" width="8.140625" bestFit="1" customWidth="1"/>
    <col min="15334" max="15334" width="4.5703125" bestFit="1" customWidth="1"/>
    <col min="15335" max="15335" width="57.5703125" customWidth="1"/>
    <col min="15336" max="15336" width="14.28515625" customWidth="1"/>
    <col min="15337" max="15337" width="0.85546875" customWidth="1"/>
    <col min="15338" max="15338" width="16.5703125" bestFit="1" customWidth="1"/>
    <col min="15339" max="15339" width="13.42578125" bestFit="1" customWidth="1"/>
    <col min="15586" max="15586" width="4.85546875" bestFit="1" customWidth="1"/>
    <col min="15587" max="15587" width="5.85546875" bestFit="1" customWidth="1"/>
    <col min="15588" max="15588" width="7.42578125" bestFit="1" customWidth="1"/>
    <col min="15589" max="15589" width="8.140625" bestFit="1" customWidth="1"/>
    <col min="15590" max="15590" width="4.5703125" bestFit="1" customWidth="1"/>
    <col min="15591" max="15591" width="57.5703125" customWidth="1"/>
    <col min="15592" max="15592" width="14.28515625" customWidth="1"/>
    <col min="15593" max="15593" width="0.85546875" customWidth="1"/>
    <col min="15594" max="15594" width="16.5703125" bestFit="1" customWidth="1"/>
    <col min="15595" max="15595" width="13.42578125" bestFit="1" customWidth="1"/>
    <col min="15842" max="15842" width="4.85546875" bestFit="1" customWidth="1"/>
    <col min="15843" max="15843" width="5.85546875" bestFit="1" customWidth="1"/>
    <col min="15844" max="15844" width="7.42578125" bestFit="1" customWidth="1"/>
    <col min="15845" max="15845" width="8.140625" bestFit="1" customWidth="1"/>
    <col min="15846" max="15846" width="4.5703125" bestFit="1" customWidth="1"/>
    <col min="15847" max="15847" width="57.5703125" customWidth="1"/>
    <col min="15848" max="15848" width="14.28515625" customWidth="1"/>
    <col min="15849" max="15849" width="0.85546875" customWidth="1"/>
    <col min="15850" max="15850" width="16.5703125" bestFit="1" customWidth="1"/>
    <col min="15851" max="15851" width="13.42578125" bestFit="1" customWidth="1"/>
    <col min="16098" max="16098" width="4.85546875" bestFit="1" customWidth="1"/>
    <col min="16099" max="16099" width="5.85546875" bestFit="1" customWidth="1"/>
    <col min="16100" max="16100" width="7.42578125" bestFit="1" customWidth="1"/>
    <col min="16101" max="16101" width="8.140625" bestFit="1" customWidth="1"/>
    <col min="16102" max="16102" width="4.5703125" bestFit="1" customWidth="1"/>
    <col min="16103" max="16103" width="57.5703125" customWidth="1"/>
    <col min="16104" max="16104" width="14.28515625" customWidth="1"/>
    <col min="16105" max="16105" width="0.85546875" customWidth="1"/>
    <col min="16106" max="16106" width="16.5703125" bestFit="1" customWidth="1"/>
    <col min="16107" max="16107" width="13.42578125" bestFit="1" customWidth="1"/>
  </cols>
  <sheetData>
    <row r="1" spans="1:9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9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9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9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9" ht="20.25" x14ac:dyDescent="0.3">
      <c r="A5" s="265" t="str">
        <f>'[1]Estado de flujo de Efectivo'!A1:B1</f>
        <v>Consejo Económico y Social -CES-</v>
      </c>
      <c r="B5" s="265"/>
      <c r="C5" s="265"/>
      <c r="D5" s="265"/>
      <c r="E5" s="265"/>
      <c r="F5" s="265"/>
      <c r="G5" s="265"/>
      <c r="H5" s="265"/>
      <c r="I5" s="1"/>
    </row>
    <row r="6" spans="1:9" ht="20.25" x14ac:dyDescent="0.3">
      <c r="A6" s="265" t="s">
        <v>129</v>
      </c>
      <c r="B6" s="265"/>
      <c r="C6" s="265"/>
      <c r="D6" s="265"/>
      <c r="E6" s="265"/>
      <c r="F6" s="265"/>
      <c r="G6" s="265"/>
      <c r="H6" s="265"/>
      <c r="I6" s="1"/>
    </row>
    <row r="7" spans="1:9" ht="20.25" x14ac:dyDescent="0.3">
      <c r="A7" s="265" t="s">
        <v>0</v>
      </c>
      <c r="B7" s="265"/>
      <c r="C7" s="265"/>
      <c r="D7" s="265"/>
      <c r="E7" s="265"/>
      <c r="F7" s="265"/>
      <c r="G7" s="265"/>
      <c r="H7" s="265"/>
      <c r="I7" s="1"/>
    </row>
    <row r="8" spans="1:9" ht="18.75" customHeight="1" thickBot="1" x14ac:dyDescent="0.3">
      <c r="A8" s="66"/>
      <c r="B8" s="66"/>
      <c r="C8" s="66"/>
      <c r="D8" s="66"/>
      <c r="E8" s="67"/>
      <c r="F8" s="68"/>
      <c r="G8" s="69"/>
      <c r="H8" s="70"/>
      <c r="I8" s="1"/>
    </row>
    <row r="9" spans="1:9" ht="0.75" customHeight="1" thickBot="1" x14ac:dyDescent="0.3">
      <c r="A9" s="266" t="s">
        <v>1</v>
      </c>
      <c r="B9" s="267"/>
      <c r="C9" s="267"/>
      <c r="D9" s="267"/>
      <c r="E9" s="268"/>
      <c r="F9" s="74"/>
      <c r="G9" s="75" t="s">
        <v>2</v>
      </c>
      <c r="H9" s="76" t="s">
        <v>2</v>
      </c>
      <c r="I9" s="1"/>
    </row>
    <row r="10" spans="1:9" ht="49.5" customHeight="1" thickBot="1" x14ac:dyDescent="0.3">
      <c r="A10" s="71"/>
      <c r="B10" s="71"/>
      <c r="C10" s="72"/>
      <c r="D10" s="72"/>
      <c r="E10" s="73"/>
      <c r="F10" s="77"/>
      <c r="G10" s="78" t="s">
        <v>126</v>
      </c>
      <c r="H10" s="79" t="s">
        <v>127</v>
      </c>
      <c r="I10" s="2" t="s">
        <v>3</v>
      </c>
    </row>
    <row r="11" spans="1:9" ht="32.25" thickBot="1" x14ac:dyDescent="0.3">
      <c r="A11" s="80" t="s">
        <v>4</v>
      </c>
      <c r="B11" s="78" t="s">
        <v>5</v>
      </c>
      <c r="C11" s="81" t="s">
        <v>6</v>
      </c>
      <c r="D11" s="78" t="s">
        <v>7</v>
      </c>
      <c r="E11" s="78" t="s">
        <v>8</v>
      </c>
      <c r="F11" s="71" t="s">
        <v>9</v>
      </c>
      <c r="G11" s="82" t="s">
        <v>10</v>
      </c>
      <c r="H11" s="83" t="s">
        <v>10</v>
      </c>
      <c r="I11" s="3" t="s">
        <v>10</v>
      </c>
    </row>
    <row r="12" spans="1:9" ht="15.75" x14ac:dyDescent="0.25">
      <c r="A12" s="84"/>
      <c r="B12" s="85"/>
      <c r="C12" s="86"/>
      <c r="D12" s="87"/>
      <c r="E12" s="88"/>
      <c r="F12" s="89"/>
      <c r="G12" s="90"/>
      <c r="H12" s="91"/>
      <c r="I12" s="4"/>
    </row>
    <row r="13" spans="1:9" ht="16.5" thickBot="1" x14ac:dyDescent="0.3">
      <c r="A13" s="85">
        <v>2</v>
      </c>
      <c r="B13" s="85">
        <v>1</v>
      </c>
      <c r="C13" s="92"/>
      <c r="D13" s="85"/>
      <c r="E13" s="93"/>
      <c r="F13" s="94" t="s">
        <v>11</v>
      </c>
      <c r="G13" s="95">
        <f>G14+G32+G39+G44-1</f>
        <v>23002832</v>
      </c>
      <c r="H13" s="165">
        <f>H14+H32+H39+H44</f>
        <v>1661145.73</v>
      </c>
      <c r="I13" s="5" t="e">
        <f>I14+I32+I39+I44</f>
        <v>#REF!</v>
      </c>
    </row>
    <row r="14" spans="1:9" ht="16.5" thickBot="1" x14ac:dyDescent="0.3">
      <c r="A14" s="85">
        <v>2</v>
      </c>
      <c r="B14" s="85">
        <v>1</v>
      </c>
      <c r="C14" s="92">
        <v>1</v>
      </c>
      <c r="D14" s="85"/>
      <c r="E14" s="93"/>
      <c r="F14" s="94" t="s">
        <v>12</v>
      </c>
      <c r="G14" s="96">
        <f>G15+G18+G23+G26</f>
        <v>19031957</v>
      </c>
      <c r="H14" s="96">
        <f>H15+H18+H23+H26</f>
        <v>1454830</v>
      </c>
      <c r="I14" s="6" t="e">
        <f>I15+I18+I23+I26</f>
        <v>#REF!</v>
      </c>
    </row>
    <row r="15" spans="1:9" ht="16.5" thickBot="1" x14ac:dyDescent="0.3">
      <c r="A15" s="85">
        <v>2</v>
      </c>
      <c r="B15" s="85">
        <v>1</v>
      </c>
      <c r="C15" s="92">
        <v>1</v>
      </c>
      <c r="D15" s="85">
        <v>1</v>
      </c>
      <c r="E15" s="93"/>
      <c r="F15" s="94" t="s">
        <v>13</v>
      </c>
      <c r="G15" s="97">
        <f>G16</f>
        <v>6300000</v>
      </c>
      <c r="H15" s="98">
        <f>H16</f>
        <v>525000</v>
      </c>
      <c r="I15" s="7" t="e">
        <f>I16</f>
        <v>#REF!</v>
      </c>
    </row>
    <row r="16" spans="1:9" ht="15.75" x14ac:dyDescent="0.25">
      <c r="A16" s="85">
        <v>2</v>
      </c>
      <c r="B16" s="85">
        <v>1</v>
      </c>
      <c r="C16" s="92">
        <v>1</v>
      </c>
      <c r="D16" s="85">
        <v>1</v>
      </c>
      <c r="E16" s="85">
        <v>1</v>
      </c>
      <c r="F16" s="99" t="s">
        <v>14</v>
      </c>
      <c r="G16" s="100">
        <v>6300000</v>
      </c>
      <c r="H16" s="101">
        <f>225000+300000</f>
        <v>525000</v>
      </c>
      <c r="I16" s="8" t="e">
        <f>+G16-#REF!</f>
        <v>#REF!</v>
      </c>
    </row>
    <row r="17" spans="1:9" ht="15.75" x14ac:dyDescent="0.25">
      <c r="A17" s="85"/>
      <c r="B17" s="85"/>
      <c r="C17" s="92"/>
      <c r="D17" s="85"/>
      <c r="E17" s="84"/>
      <c r="F17" s="99"/>
      <c r="G17" s="102"/>
      <c r="H17" s="103"/>
      <c r="I17" s="9"/>
    </row>
    <row r="18" spans="1:9" ht="36" customHeight="1" thickBot="1" x14ac:dyDescent="0.3">
      <c r="A18" s="85">
        <v>2</v>
      </c>
      <c r="B18" s="85">
        <v>1</v>
      </c>
      <c r="C18" s="92">
        <v>1</v>
      </c>
      <c r="D18" s="85">
        <v>2</v>
      </c>
      <c r="E18" s="93"/>
      <c r="F18" s="104" t="s">
        <v>15</v>
      </c>
      <c r="G18" s="95">
        <f>G19</f>
        <v>11267960</v>
      </c>
      <c r="H18" s="105">
        <f>SUM(H19:H21)</f>
        <v>929830</v>
      </c>
      <c r="I18" s="10" t="e">
        <f>SUM(I19:I21)</f>
        <v>#REF!</v>
      </c>
    </row>
    <row r="19" spans="1:9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1</v>
      </c>
      <c r="F19" s="106" t="s">
        <v>16</v>
      </c>
      <c r="G19" s="107">
        <v>11267960</v>
      </c>
      <c r="H19" s="103">
        <f>51400+75378+60885+73500+48920+80500+93500+73500+122117+110065+85065</f>
        <v>874830</v>
      </c>
      <c r="I19" s="9" t="e">
        <f>+G19-#REF!</f>
        <v>#REF!</v>
      </c>
    </row>
    <row r="20" spans="1:9" ht="15.75" x14ac:dyDescent="0.25">
      <c r="A20" s="85">
        <v>2</v>
      </c>
      <c r="B20" s="85">
        <v>1</v>
      </c>
      <c r="C20" s="92">
        <v>1</v>
      </c>
      <c r="D20" s="85">
        <v>2</v>
      </c>
      <c r="E20" s="85">
        <v>2</v>
      </c>
      <c r="F20" s="106" t="s">
        <v>17</v>
      </c>
      <c r="G20" s="102"/>
      <c r="H20" s="103"/>
      <c r="I20" s="9"/>
    </row>
    <row r="21" spans="1:9" ht="15.75" x14ac:dyDescent="0.25">
      <c r="A21" s="85">
        <v>2</v>
      </c>
      <c r="B21" s="85">
        <v>1</v>
      </c>
      <c r="C21" s="92">
        <v>1</v>
      </c>
      <c r="D21" s="85">
        <v>2</v>
      </c>
      <c r="E21" s="85">
        <v>5</v>
      </c>
      <c r="F21" s="106" t="s">
        <v>18</v>
      </c>
      <c r="G21" s="108"/>
      <c r="H21" s="110">
        <v>55000</v>
      </c>
      <c r="I21" s="12" t="e">
        <f>+G21-#REF!</f>
        <v>#REF!</v>
      </c>
    </row>
    <row r="22" spans="1:9" ht="15.75" x14ac:dyDescent="0.25">
      <c r="A22" s="85"/>
      <c r="B22" s="85"/>
      <c r="C22" s="92"/>
      <c r="D22" s="85"/>
      <c r="E22" s="85"/>
      <c r="F22" s="106"/>
      <c r="G22" s="108"/>
      <c r="H22" s="110" t="s">
        <v>19</v>
      </c>
      <c r="I22" s="12"/>
    </row>
    <row r="23" spans="1:9" ht="16.5" thickBot="1" x14ac:dyDescent="0.3">
      <c r="A23" s="85">
        <v>2</v>
      </c>
      <c r="B23" s="85">
        <v>1</v>
      </c>
      <c r="C23" s="92">
        <v>1</v>
      </c>
      <c r="D23" s="85">
        <v>4</v>
      </c>
      <c r="E23" s="93"/>
      <c r="F23" s="104" t="s">
        <v>20</v>
      </c>
      <c r="G23" s="95">
        <f>G24</f>
        <v>1463997</v>
      </c>
      <c r="H23" s="96">
        <f>H24</f>
        <v>0</v>
      </c>
      <c r="I23" s="6" t="e">
        <f>I24</f>
        <v>#REF!</v>
      </c>
    </row>
    <row r="24" spans="1:9" ht="15.75" x14ac:dyDescent="0.25">
      <c r="A24" s="85">
        <v>2</v>
      </c>
      <c r="B24" s="85">
        <v>1</v>
      </c>
      <c r="C24" s="92">
        <v>1</v>
      </c>
      <c r="D24" s="85">
        <v>4</v>
      </c>
      <c r="E24" s="85">
        <v>1</v>
      </c>
      <c r="F24" s="106" t="s">
        <v>21</v>
      </c>
      <c r="G24" s="107">
        <v>1463997</v>
      </c>
      <c r="H24" s="109">
        <v>0</v>
      </c>
      <c r="I24" s="13" t="e">
        <f>+G24-#REF!</f>
        <v>#REF!</v>
      </c>
    </row>
    <row r="25" spans="1:9" ht="15.75" x14ac:dyDescent="0.25">
      <c r="A25" s="85"/>
      <c r="B25" s="85"/>
      <c r="C25" s="92"/>
      <c r="D25" s="85"/>
      <c r="E25" s="85"/>
      <c r="F25" s="106"/>
      <c r="G25" s="108"/>
      <c r="H25" s="110"/>
      <c r="I25" s="12"/>
    </row>
    <row r="26" spans="1:9" ht="16.5" thickBot="1" x14ac:dyDescent="0.3">
      <c r="A26" s="85">
        <v>2</v>
      </c>
      <c r="B26" s="85">
        <v>1</v>
      </c>
      <c r="C26" s="92">
        <v>1</v>
      </c>
      <c r="D26" s="85">
        <v>5</v>
      </c>
      <c r="E26" s="93"/>
      <c r="F26" s="104" t="s">
        <v>22</v>
      </c>
      <c r="G26" s="111">
        <f>G27+G30</f>
        <v>0</v>
      </c>
      <c r="H26" s="105">
        <f>H27+H28+H29+H30</f>
        <v>0</v>
      </c>
      <c r="I26" s="10">
        <f>I27+I28+I29+I30</f>
        <v>0</v>
      </c>
    </row>
    <row r="27" spans="1:9" ht="15.75" x14ac:dyDescent="0.25">
      <c r="A27" s="85">
        <v>2</v>
      </c>
      <c r="B27" s="85">
        <v>1</v>
      </c>
      <c r="C27" s="92">
        <v>1</v>
      </c>
      <c r="D27" s="85">
        <v>5</v>
      </c>
      <c r="E27" s="85">
        <v>1</v>
      </c>
      <c r="F27" s="106" t="s">
        <v>22</v>
      </c>
      <c r="G27" s="108"/>
      <c r="H27" s="110">
        <v>0</v>
      </c>
      <c r="I27" s="12">
        <v>0</v>
      </c>
    </row>
    <row r="28" spans="1:9" ht="31.5" x14ac:dyDescent="0.25">
      <c r="A28" s="85">
        <v>2</v>
      </c>
      <c r="B28" s="85">
        <v>1</v>
      </c>
      <c r="C28" s="92">
        <v>1</v>
      </c>
      <c r="D28" s="85">
        <v>5</v>
      </c>
      <c r="E28" s="85">
        <v>2</v>
      </c>
      <c r="F28" s="106" t="s">
        <v>23</v>
      </c>
      <c r="G28" s="108"/>
      <c r="H28" s="110">
        <v>0</v>
      </c>
      <c r="I28" s="12">
        <v>0</v>
      </c>
    </row>
    <row r="29" spans="1:9" ht="15.75" x14ac:dyDescent="0.25">
      <c r="A29" s="85">
        <v>2</v>
      </c>
      <c r="B29" s="85">
        <v>1</v>
      </c>
      <c r="C29" s="92">
        <v>1</v>
      </c>
      <c r="D29" s="85">
        <v>5</v>
      </c>
      <c r="E29" s="85">
        <v>3</v>
      </c>
      <c r="F29" s="106" t="s">
        <v>24</v>
      </c>
      <c r="G29" s="108"/>
      <c r="H29" s="110">
        <v>0</v>
      </c>
      <c r="I29" s="12">
        <v>0</v>
      </c>
    </row>
    <row r="30" spans="1:9" ht="15.75" x14ac:dyDescent="0.25">
      <c r="A30" s="85">
        <v>2</v>
      </c>
      <c r="B30" s="85">
        <v>1</v>
      </c>
      <c r="C30" s="92">
        <v>1</v>
      </c>
      <c r="D30" s="85">
        <v>5</v>
      </c>
      <c r="E30" s="85">
        <v>4</v>
      </c>
      <c r="F30" s="106" t="s">
        <v>25</v>
      </c>
      <c r="G30" s="108"/>
      <c r="H30" s="110"/>
      <c r="I30" s="12"/>
    </row>
    <row r="31" spans="1:9" ht="16.5" thickBot="1" x14ac:dyDescent="0.3">
      <c r="A31" s="85"/>
      <c r="B31" s="85"/>
      <c r="C31" s="92"/>
      <c r="D31" s="85"/>
      <c r="E31" s="85"/>
      <c r="F31" s="106"/>
      <c r="G31" s="108"/>
      <c r="H31" s="110"/>
      <c r="I31" s="12"/>
    </row>
    <row r="32" spans="1:9" ht="16.5" thickBot="1" x14ac:dyDescent="0.3">
      <c r="A32" s="85">
        <v>2</v>
      </c>
      <c r="B32" s="85">
        <v>1</v>
      </c>
      <c r="C32" s="92">
        <v>2</v>
      </c>
      <c r="D32" s="85"/>
      <c r="E32" s="85"/>
      <c r="F32" s="104" t="s">
        <v>26</v>
      </c>
      <c r="G32" s="112">
        <f>G33</f>
        <v>1463997</v>
      </c>
      <c r="H32" s="113">
        <f>H33</f>
        <v>0</v>
      </c>
      <c r="I32" s="14" t="e">
        <f>I33</f>
        <v>#REF!</v>
      </c>
    </row>
    <row r="33" spans="1:9" ht="16.5" thickBot="1" x14ac:dyDescent="0.3">
      <c r="A33" s="85">
        <v>2</v>
      </c>
      <c r="B33" s="85">
        <v>1</v>
      </c>
      <c r="C33" s="85">
        <v>2</v>
      </c>
      <c r="D33" s="85">
        <v>2</v>
      </c>
      <c r="E33" s="85"/>
      <c r="F33" s="104" t="s">
        <v>27</v>
      </c>
      <c r="G33" s="95">
        <f>G34+G35+G36</f>
        <v>1463997</v>
      </c>
      <c r="H33" s="113">
        <f>H36</f>
        <v>0</v>
      </c>
      <c r="I33" s="15" t="e">
        <f>I36</f>
        <v>#REF!</v>
      </c>
    </row>
    <row r="34" spans="1:9" ht="31.5" x14ac:dyDescent="0.25">
      <c r="A34" s="85">
        <v>2</v>
      </c>
      <c r="B34" s="85">
        <v>1</v>
      </c>
      <c r="C34" s="85">
        <v>2</v>
      </c>
      <c r="D34" s="85">
        <v>2</v>
      </c>
      <c r="E34" s="85">
        <v>2</v>
      </c>
      <c r="F34" s="104" t="s">
        <v>28</v>
      </c>
      <c r="G34" s="114"/>
      <c r="H34" s="96">
        <v>0</v>
      </c>
      <c r="I34" s="6">
        <v>0</v>
      </c>
    </row>
    <row r="35" spans="1:9" ht="15.75" x14ac:dyDescent="0.25">
      <c r="A35" s="85">
        <v>2</v>
      </c>
      <c r="B35" s="85">
        <v>1</v>
      </c>
      <c r="C35" s="85">
        <v>2</v>
      </c>
      <c r="D35" s="85">
        <v>2</v>
      </c>
      <c r="E35" s="85">
        <v>4</v>
      </c>
      <c r="F35" s="106" t="s">
        <v>29</v>
      </c>
      <c r="G35" s="108">
        <v>0</v>
      </c>
      <c r="H35" s="110">
        <v>0</v>
      </c>
      <c r="I35" s="12">
        <v>0</v>
      </c>
    </row>
    <row r="36" spans="1:9" ht="15.75" x14ac:dyDescent="0.25">
      <c r="A36" s="85">
        <v>2</v>
      </c>
      <c r="B36" s="85">
        <v>1</v>
      </c>
      <c r="C36" s="85">
        <v>2</v>
      </c>
      <c r="D36" s="85">
        <v>2</v>
      </c>
      <c r="E36" s="85">
        <v>15</v>
      </c>
      <c r="F36" s="106" t="s">
        <v>30</v>
      </c>
      <c r="G36" s="108">
        <v>1463997</v>
      </c>
      <c r="H36" s="110"/>
      <c r="I36" s="12" t="e">
        <f>+G36-#REF!</f>
        <v>#REF!</v>
      </c>
    </row>
    <row r="37" spans="1:9" ht="15.75" x14ac:dyDescent="0.25">
      <c r="A37" s="85"/>
      <c r="B37" s="85"/>
      <c r="C37" s="92"/>
      <c r="D37" s="85"/>
      <c r="E37" s="85"/>
      <c r="F37" s="106"/>
      <c r="G37" s="108"/>
      <c r="H37" s="110"/>
      <c r="I37" s="12"/>
    </row>
    <row r="38" spans="1:9" ht="15.75" x14ac:dyDescent="0.25">
      <c r="A38" s="85"/>
      <c r="B38" s="85"/>
      <c r="C38" s="92"/>
      <c r="D38" s="85"/>
      <c r="E38" s="85"/>
      <c r="F38" s="106"/>
      <c r="G38" s="108"/>
      <c r="H38" s="110"/>
      <c r="I38" s="12"/>
    </row>
    <row r="39" spans="1:9" ht="16.5" thickBot="1" x14ac:dyDescent="0.3">
      <c r="A39" s="85">
        <v>2</v>
      </c>
      <c r="B39" s="85">
        <v>1</v>
      </c>
      <c r="C39" s="92">
        <v>3</v>
      </c>
      <c r="D39" s="85"/>
      <c r="E39" s="85"/>
      <c r="F39" s="104" t="s">
        <v>31</v>
      </c>
      <c r="G39" s="108"/>
      <c r="H39" s="110"/>
      <c r="I39" s="12"/>
    </row>
    <row r="40" spans="1:9" ht="16.5" thickBot="1" x14ac:dyDescent="0.3">
      <c r="A40" s="85">
        <v>2</v>
      </c>
      <c r="B40" s="85">
        <v>1</v>
      </c>
      <c r="C40" s="92">
        <v>3</v>
      </c>
      <c r="D40" s="85">
        <v>1</v>
      </c>
      <c r="E40" s="93"/>
      <c r="F40" s="104" t="s">
        <v>32</v>
      </c>
      <c r="G40" s="97">
        <f>G41+G42</f>
        <v>0</v>
      </c>
      <c r="H40" s="98">
        <f>H41+H42</f>
        <v>0</v>
      </c>
      <c r="I40" s="16" t="e">
        <f>I41+I42</f>
        <v>#REF!</v>
      </c>
    </row>
    <row r="41" spans="1:9" ht="15.75" x14ac:dyDescent="0.25">
      <c r="A41" s="85">
        <v>2</v>
      </c>
      <c r="B41" s="85">
        <v>1</v>
      </c>
      <c r="C41" s="92">
        <v>3</v>
      </c>
      <c r="D41" s="85">
        <v>1</v>
      </c>
      <c r="E41" s="85">
        <v>1</v>
      </c>
      <c r="F41" s="106" t="s">
        <v>33</v>
      </c>
      <c r="G41" s="107"/>
      <c r="H41" s="110">
        <f>G41*12</f>
        <v>0</v>
      </c>
      <c r="I41" s="12" t="e">
        <f>+G41-#REF!</f>
        <v>#REF!</v>
      </c>
    </row>
    <row r="42" spans="1:9" ht="15.75" x14ac:dyDescent="0.25">
      <c r="A42" s="85">
        <v>2</v>
      </c>
      <c r="B42" s="85">
        <v>1</v>
      </c>
      <c r="C42" s="92">
        <v>3</v>
      </c>
      <c r="D42" s="85">
        <v>1</v>
      </c>
      <c r="E42" s="85">
        <v>2</v>
      </c>
      <c r="F42" s="106" t="s">
        <v>34</v>
      </c>
      <c r="G42" s="108"/>
      <c r="H42" s="110">
        <f>G42*12</f>
        <v>0</v>
      </c>
      <c r="I42" s="12" t="e">
        <f>+G42-#REF!</f>
        <v>#REF!</v>
      </c>
    </row>
    <row r="43" spans="1:9" s="17" customFormat="1" ht="15.75" x14ac:dyDescent="0.25">
      <c r="A43" s="85"/>
      <c r="B43" s="85"/>
      <c r="C43" s="92"/>
      <c r="D43" s="85"/>
      <c r="E43" s="85"/>
      <c r="F43" s="106"/>
      <c r="G43" s="108"/>
      <c r="H43" s="110"/>
      <c r="I43" s="12"/>
    </row>
    <row r="44" spans="1:9" ht="32.25" thickBot="1" x14ac:dyDescent="0.3">
      <c r="A44" s="85">
        <v>2</v>
      </c>
      <c r="B44" s="115">
        <v>1</v>
      </c>
      <c r="C44" s="116">
        <v>5</v>
      </c>
      <c r="D44" s="93"/>
      <c r="E44" s="93"/>
      <c r="F44" s="104" t="s">
        <v>35</v>
      </c>
      <c r="G44" s="95">
        <f>SUM(G45:G47)</f>
        <v>2506879</v>
      </c>
      <c r="H44" s="96">
        <f>SUM(H45:H47)</f>
        <v>206315.72999999998</v>
      </c>
      <c r="I44" s="6" t="e">
        <f>SUM(I45:I47)</f>
        <v>#REF!</v>
      </c>
    </row>
    <row r="45" spans="1:9" ht="15.75" x14ac:dyDescent="0.25">
      <c r="A45" s="85">
        <v>2</v>
      </c>
      <c r="B45" s="85">
        <v>1</v>
      </c>
      <c r="C45" s="92">
        <v>5</v>
      </c>
      <c r="D45" s="85">
        <v>1</v>
      </c>
      <c r="E45" s="85"/>
      <c r="F45" s="99" t="s">
        <v>36</v>
      </c>
      <c r="G45" s="107">
        <v>1128795</v>
      </c>
      <c r="H45" s="109">
        <v>92444.4</v>
      </c>
      <c r="I45" s="13" t="e">
        <f>+G45-#REF!</f>
        <v>#REF!</v>
      </c>
    </row>
    <row r="46" spans="1:9" ht="15.75" x14ac:dyDescent="0.25">
      <c r="A46" s="85">
        <v>2</v>
      </c>
      <c r="B46" s="85">
        <v>1</v>
      </c>
      <c r="C46" s="92">
        <v>5</v>
      </c>
      <c r="D46" s="85">
        <v>2</v>
      </c>
      <c r="E46" s="85"/>
      <c r="F46" s="99" t="s">
        <v>37</v>
      </c>
      <c r="G46" s="108">
        <v>1247325</v>
      </c>
      <c r="H46" s="110">
        <v>103292.95</v>
      </c>
      <c r="I46" s="12" t="e">
        <f>+G46-#REF!</f>
        <v>#REF!</v>
      </c>
    </row>
    <row r="47" spans="1:9" ht="15.75" x14ac:dyDescent="0.25">
      <c r="A47" s="85">
        <v>2</v>
      </c>
      <c r="B47" s="85">
        <v>1</v>
      </c>
      <c r="C47" s="92">
        <v>5</v>
      </c>
      <c r="D47" s="85">
        <v>3</v>
      </c>
      <c r="E47" s="85"/>
      <c r="F47" s="106" t="s">
        <v>38</v>
      </c>
      <c r="G47" s="108">
        <v>130759</v>
      </c>
      <c r="H47" s="110">
        <v>10578.38</v>
      </c>
      <c r="I47" s="12" t="e">
        <f>+G47-#REF!</f>
        <v>#REF!</v>
      </c>
    </row>
    <row r="48" spans="1:9" ht="15.75" x14ac:dyDescent="0.25">
      <c r="A48" s="85"/>
      <c r="B48" s="85"/>
      <c r="C48" s="92"/>
      <c r="D48" s="85"/>
      <c r="E48" s="85"/>
      <c r="F48" s="106"/>
      <c r="G48" s="108"/>
      <c r="H48" s="110"/>
      <c r="I48" s="12"/>
    </row>
    <row r="49" spans="1:9" ht="16.5" thickBot="1" x14ac:dyDescent="0.3">
      <c r="A49" s="85">
        <v>2</v>
      </c>
      <c r="B49" s="85">
        <v>2</v>
      </c>
      <c r="C49" s="92"/>
      <c r="D49" s="85"/>
      <c r="E49" s="93"/>
      <c r="F49" s="94" t="s">
        <v>39</v>
      </c>
      <c r="G49" s="95">
        <f>G50+G58+G62+G66+G70+G84+G92+G79+G107</f>
        <v>18307031</v>
      </c>
      <c r="H49" s="105">
        <f>H50+H58+H62+H66+H70+H84+H92+H79+H107</f>
        <v>1340446.24</v>
      </c>
      <c r="I49" s="10" t="e">
        <f>I50+I58+I62+I66+I70+I84+I92+I79+I107</f>
        <v>#REF!</v>
      </c>
    </row>
    <row r="50" spans="1:9" ht="16.5" thickBot="1" x14ac:dyDescent="0.3">
      <c r="A50" s="85">
        <v>2</v>
      </c>
      <c r="B50" s="85">
        <v>2</v>
      </c>
      <c r="C50" s="92">
        <v>1</v>
      </c>
      <c r="D50" s="85"/>
      <c r="E50" s="93"/>
      <c r="F50" s="94" t="s">
        <v>40</v>
      </c>
      <c r="G50" s="112">
        <f>G51+G52+G53+G55</f>
        <v>1401915</v>
      </c>
      <c r="H50" s="96">
        <f>H51+H52+H53+H55</f>
        <v>122900.01999999999</v>
      </c>
      <c r="I50" s="6" t="e">
        <f>I51+I52+I53+I55</f>
        <v>#REF!</v>
      </c>
    </row>
    <row r="51" spans="1:9" ht="15.75" x14ac:dyDescent="0.25">
      <c r="A51" s="85">
        <v>2</v>
      </c>
      <c r="B51" s="85">
        <v>2</v>
      </c>
      <c r="C51" s="92">
        <v>1</v>
      </c>
      <c r="D51" s="85">
        <v>3</v>
      </c>
      <c r="E51" s="85"/>
      <c r="F51" s="99" t="s">
        <v>41</v>
      </c>
      <c r="G51" s="107">
        <v>336000</v>
      </c>
      <c r="H51" s="109">
        <f>47963.82+22207.42+2155</f>
        <v>72326.239999999991</v>
      </c>
      <c r="I51" s="13" t="e">
        <f>+G51-#REF!</f>
        <v>#REF!</v>
      </c>
    </row>
    <row r="52" spans="1:9" ht="15.75" x14ac:dyDescent="0.25">
      <c r="A52" s="85">
        <v>2</v>
      </c>
      <c r="B52" s="85">
        <v>2</v>
      </c>
      <c r="C52" s="92">
        <v>1</v>
      </c>
      <c r="D52" s="85">
        <v>4</v>
      </c>
      <c r="E52" s="85"/>
      <c r="F52" s="99" t="s">
        <v>42</v>
      </c>
      <c r="G52" s="108">
        <v>47822</v>
      </c>
      <c r="H52" s="110"/>
      <c r="I52" s="12"/>
    </row>
    <row r="53" spans="1:9" ht="15.75" x14ac:dyDescent="0.25">
      <c r="A53" s="85">
        <v>2</v>
      </c>
      <c r="B53" s="85">
        <v>2</v>
      </c>
      <c r="C53" s="92">
        <v>1</v>
      </c>
      <c r="D53" s="85">
        <v>5</v>
      </c>
      <c r="E53" s="85"/>
      <c r="F53" s="99" t="s">
        <v>43</v>
      </c>
      <c r="G53" s="108">
        <v>346093</v>
      </c>
      <c r="H53" s="110"/>
      <c r="I53" s="12" t="e">
        <f>+G53-#REF!</f>
        <v>#REF!</v>
      </c>
    </row>
    <row r="54" spans="1:9" ht="15.75" x14ac:dyDescent="0.25">
      <c r="A54" s="85"/>
      <c r="B54" s="85"/>
      <c r="C54" s="92"/>
      <c r="D54" s="85"/>
      <c r="E54" s="85"/>
      <c r="F54" s="99"/>
      <c r="G54" s="108"/>
      <c r="H54" s="110"/>
      <c r="I54" s="12"/>
    </row>
    <row r="55" spans="1:9" ht="16.5" thickBot="1" x14ac:dyDescent="0.3">
      <c r="A55" s="85">
        <v>2</v>
      </c>
      <c r="B55" s="85">
        <v>2</v>
      </c>
      <c r="C55" s="92">
        <v>1</v>
      </c>
      <c r="D55" s="85">
        <v>6</v>
      </c>
      <c r="E55" s="85"/>
      <c r="F55" s="104" t="s">
        <v>44</v>
      </c>
      <c r="G55" s="95">
        <f>G56</f>
        <v>672000</v>
      </c>
      <c r="H55" s="117">
        <f>H56</f>
        <v>50573.78</v>
      </c>
      <c r="I55" s="19" t="e">
        <f>I56</f>
        <v>#REF!</v>
      </c>
    </row>
    <row r="56" spans="1:9" ht="15.75" x14ac:dyDescent="0.25">
      <c r="A56" s="85">
        <v>2</v>
      </c>
      <c r="B56" s="85">
        <v>2</v>
      </c>
      <c r="C56" s="92">
        <v>1</v>
      </c>
      <c r="D56" s="85">
        <v>6</v>
      </c>
      <c r="E56" s="85">
        <v>1</v>
      </c>
      <c r="F56" s="99" t="s">
        <v>45</v>
      </c>
      <c r="G56" s="107">
        <v>672000</v>
      </c>
      <c r="H56" s="110">
        <v>50573.78</v>
      </c>
      <c r="I56" s="13" t="e">
        <f>+G56-#REF!</f>
        <v>#REF!</v>
      </c>
    </row>
    <row r="57" spans="1:9" ht="15.75" x14ac:dyDescent="0.25">
      <c r="A57" s="85"/>
      <c r="B57" s="85"/>
      <c r="C57" s="92"/>
      <c r="D57" s="85"/>
      <c r="E57" s="85"/>
      <c r="F57" s="99"/>
      <c r="G57" s="108"/>
      <c r="H57" s="110"/>
      <c r="I57" s="12"/>
    </row>
    <row r="58" spans="1:9" ht="32.25" thickBot="1" x14ac:dyDescent="0.3">
      <c r="A58" s="85">
        <v>2</v>
      </c>
      <c r="B58" s="85">
        <v>2</v>
      </c>
      <c r="C58" s="92">
        <v>2</v>
      </c>
      <c r="D58" s="85"/>
      <c r="E58" s="85"/>
      <c r="F58" s="104" t="s">
        <v>46</v>
      </c>
      <c r="G58" s="95">
        <f>SUM(G59:G60)</f>
        <v>175500</v>
      </c>
      <c r="H58" s="96">
        <f>H59+H60</f>
        <v>0</v>
      </c>
      <c r="I58" s="20" t="e">
        <f>I59+I60</f>
        <v>#REF!</v>
      </c>
    </row>
    <row r="59" spans="1:9" ht="15.75" x14ac:dyDescent="0.25">
      <c r="A59" s="85">
        <v>2</v>
      </c>
      <c r="B59" s="85">
        <v>2</v>
      </c>
      <c r="C59" s="92">
        <v>2</v>
      </c>
      <c r="D59" s="85">
        <v>1</v>
      </c>
      <c r="E59" s="85"/>
      <c r="F59" s="106" t="s">
        <v>47</v>
      </c>
      <c r="G59" s="107">
        <v>175500</v>
      </c>
      <c r="H59" s="109"/>
      <c r="I59" s="12" t="e">
        <f>+G59-#REF!</f>
        <v>#REF!</v>
      </c>
    </row>
    <row r="60" spans="1:9" ht="15.75" x14ac:dyDescent="0.25">
      <c r="A60" s="85">
        <v>2</v>
      </c>
      <c r="B60" s="85">
        <v>2</v>
      </c>
      <c r="C60" s="92">
        <v>2</v>
      </c>
      <c r="D60" s="85">
        <v>2</v>
      </c>
      <c r="E60" s="85"/>
      <c r="F60" s="106" t="s">
        <v>48</v>
      </c>
      <c r="G60" s="108"/>
      <c r="H60" s="110"/>
      <c r="I60" s="12" t="e">
        <f>+G60-#REF!</f>
        <v>#REF!</v>
      </c>
    </row>
    <row r="61" spans="1:9" ht="15.75" x14ac:dyDescent="0.25">
      <c r="A61" s="85"/>
      <c r="B61" s="85"/>
      <c r="C61" s="92"/>
      <c r="D61" s="85"/>
      <c r="E61" s="85"/>
      <c r="F61" s="99"/>
      <c r="G61" s="108"/>
      <c r="H61" s="110"/>
      <c r="I61" s="12"/>
    </row>
    <row r="62" spans="1:9" ht="16.5" thickBot="1" x14ac:dyDescent="0.3">
      <c r="A62" s="85">
        <v>2</v>
      </c>
      <c r="B62" s="85">
        <v>2</v>
      </c>
      <c r="C62" s="92">
        <v>3</v>
      </c>
      <c r="D62" s="85"/>
      <c r="E62" s="85"/>
      <c r="F62" s="104" t="s">
        <v>49</v>
      </c>
      <c r="G62" s="95">
        <f>G63+G64</f>
        <v>550000</v>
      </c>
      <c r="H62" s="105">
        <f>H63+H64</f>
        <v>0</v>
      </c>
      <c r="I62" s="10" t="e">
        <f>I63+I64</f>
        <v>#REF!</v>
      </c>
    </row>
    <row r="63" spans="1:9" ht="15.75" x14ac:dyDescent="0.25">
      <c r="A63" s="85">
        <v>2</v>
      </c>
      <c r="B63" s="85">
        <v>2</v>
      </c>
      <c r="C63" s="92">
        <v>3</v>
      </c>
      <c r="D63" s="85">
        <v>1</v>
      </c>
      <c r="E63" s="119"/>
      <c r="F63" s="106" t="s">
        <v>50</v>
      </c>
      <c r="G63" s="100"/>
      <c r="H63" s="101"/>
      <c r="I63" s="8" t="e">
        <f>+G63-#REF!</f>
        <v>#REF!</v>
      </c>
    </row>
    <row r="64" spans="1:9" ht="15.75" x14ac:dyDescent="0.25">
      <c r="A64" s="85">
        <v>2</v>
      </c>
      <c r="B64" s="85">
        <v>2</v>
      </c>
      <c r="C64" s="92">
        <v>3</v>
      </c>
      <c r="D64" s="85">
        <v>2</v>
      </c>
      <c r="E64" s="119"/>
      <c r="F64" s="106" t="s">
        <v>51</v>
      </c>
      <c r="G64" s="108">
        <v>550000</v>
      </c>
      <c r="H64" s="110"/>
      <c r="I64" s="12" t="e">
        <f>+G64-#REF!</f>
        <v>#REF!</v>
      </c>
    </row>
    <row r="65" spans="1:9" ht="15.75" x14ac:dyDescent="0.25">
      <c r="A65" s="85"/>
      <c r="B65" s="85"/>
      <c r="C65" s="92"/>
      <c r="D65" s="85"/>
      <c r="E65" s="85"/>
      <c r="F65" s="106"/>
      <c r="G65" s="108"/>
      <c r="H65" s="110"/>
      <c r="I65" s="12" t="e">
        <f>+G65-#REF!</f>
        <v>#REF!</v>
      </c>
    </row>
    <row r="66" spans="1:9" ht="16.5" thickBot="1" x14ac:dyDescent="0.3">
      <c r="A66" s="85">
        <v>2</v>
      </c>
      <c r="B66" s="85">
        <v>2</v>
      </c>
      <c r="C66" s="92">
        <v>4</v>
      </c>
      <c r="D66" s="85"/>
      <c r="E66" s="85"/>
      <c r="F66" s="104" t="s">
        <v>52</v>
      </c>
      <c r="G66" s="95">
        <f>G67+G68</f>
        <v>280000</v>
      </c>
      <c r="H66" s="105">
        <f>H67+H68</f>
        <v>6910.99</v>
      </c>
      <c r="I66" s="10" t="e">
        <f>+G66-#REF!</f>
        <v>#REF!</v>
      </c>
    </row>
    <row r="67" spans="1:9" ht="15.75" x14ac:dyDescent="0.25">
      <c r="A67" s="85">
        <v>2</v>
      </c>
      <c r="B67" s="85">
        <v>2</v>
      </c>
      <c r="C67" s="92">
        <v>4</v>
      </c>
      <c r="D67" s="85">
        <v>1</v>
      </c>
      <c r="E67" s="85"/>
      <c r="F67" s="106" t="s">
        <v>53</v>
      </c>
      <c r="G67" s="107">
        <v>280000</v>
      </c>
      <c r="H67" s="110">
        <f>780+6130.99</f>
        <v>6910.99</v>
      </c>
      <c r="I67" s="12" t="e">
        <f>+G67-#REF!</f>
        <v>#REF!</v>
      </c>
    </row>
    <row r="68" spans="1:9" ht="15.75" x14ac:dyDescent="0.25">
      <c r="A68" s="85">
        <v>2</v>
      </c>
      <c r="B68" s="85">
        <v>2</v>
      </c>
      <c r="C68" s="92">
        <v>4</v>
      </c>
      <c r="D68" s="85">
        <v>3</v>
      </c>
      <c r="E68" s="85"/>
      <c r="F68" s="106" t="s">
        <v>54</v>
      </c>
      <c r="G68" s="108"/>
      <c r="H68" s="110">
        <v>0</v>
      </c>
      <c r="I68" s="12" t="e">
        <f>+G68-#REF!</f>
        <v>#REF!</v>
      </c>
    </row>
    <row r="69" spans="1:9" ht="15.75" x14ac:dyDescent="0.25">
      <c r="A69" s="85"/>
      <c r="B69" s="85"/>
      <c r="C69" s="92"/>
      <c r="D69" s="85"/>
      <c r="E69" s="85"/>
      <c r="F69" s="106"/>
      <c r="G69" s="108"/>
      <c r="H69" s="110"/>
      <c r="I69" s="12" t="e">
        <f>+G69-#REF!</f>
        <v>#REF!</v>
      </c>
    </row>
    <row r="70" spans="1:9" ht="16.5" thickBot="1" x14ac:dyDescent="0.3">
      <c r="A70" s="85">
        <v>2</v>
      </c>
      <c r="B70" s="85">
        <v>2</v>
      </c>
      <c r="C70" s="92">
        <v>5</v>
      </c>
      <c r="D70" s="85"/>
      <c r="E70" s="85"/>
      <c r="F70" s="104" t="s">
        <v>55</v>
      </c>
      <c r="G70" s="95">
        <f>G71+G76</f>
        <v>10015311</v>
      </c>
      <c r="H70" s="96">
        <f>H73+H71</f>
        <v>792285.26</v>
      </c>
      <c r="I70" s="6" t="e">
        <f>I73+I71</f>
        <v>#REF!</v>
      </c>
    </row>
    <row r="71" spans="1:9" ht="15.75" x14ac:dyDescent="0.25">
      <c r="A71" s="85">
        <v>2</v>
      </c>
      <c r="B71" s="85">
        <v>2</v>
      </c>
      <c r="C71" s="92">
        <v>5</v>
      </c>
      <c r="D71" s="85">
        <v>1</v>
      </c>
      <c r="E71" s="85"/>
      <c r="F71" s="99" t="s">
        <v>56</v>
      </c>
      <c r="G71" s="107">
        <v>9685383</v>
      </c>
      <c r="H71" s="109">
        <f>17098.97+766926.29</f>
        <v>784025.26</v>
      </c>
      <c r="I71" s="13" t="e">
        <f>+G71-#REF!</f>
        <v>#REF!</v>
      </c>
    </row>
    <row r="72" spans="1:9" ht="15.75" x14ac:dyDescent="0.25">
      <c r="A72" s="85"/>
      <c r="B72" s="85"/>
      <c r="C72" s="92"/>
      <c r="D72" s="85"/>
      <c r="E72" s="119"/>
      <c r="F72" s="106"/>
      <c r="G72" s="108"/>
      <c r="H72" s="110"/>
      <c r="I72" s="12"/>
    </row>
    <row r="73" spans="1:9" ht="16.5" thickBot="1" x14ac:dyDescent="0.3">
      <c r="A73" s="85">
        <v>2</v>
      </c>
      <c r="B73" s="85">
        <v>2</v>
      </c>
      <c r="C73" s="92">
        <v>5</v>
      </c>
      <c r="D73" s="85">
        <v>3</v>
      </c>
      <c r="E73" s="93"/>
      <c r="F73" s="104" t="s">
        <v>57</v>
      </c>
      <c r="G73" s="95">
        <f>G74+G75+G76</f>
        <v>329928</v>
      </c>
      <c r="H73" s="105">
        <f>H74+H75+H76</f>
        <v>8260</v>
      </c>
      <c r="I73" s="10" t="e">
        <f>I74+I75+I76</f>
        <v>#REF!</v>
      </c>
    </row>
    <row r="74" spans="1:9" ht="15.75" x14ac:dyDescent="0.25">
      <c r="A74" s="85">
        <v>2</v>
      </c>
      <c r="B74" s="85">
        <v>2</v>
      </c>
      <c r="C74" s="92">
        <v>5</v>
      </c>
      <c r="D74" s="85">
        <v>3</v>
      </c>
      <c r="E74" s="85">
        <v>2</v>
      </c>
      <c r="F74" s="99" t="s">
        <v>58</v>
      </c>
      <c r="G74" s="107"/>
      <c r="H74" s="110">
        <v>0</v>
      </c>
      <c r="I74" s="12" t="e">
        <f>+G74-#REF!</f>
        <v>#REF!</v>
      </c>
    </row>
    <row r="75" spans="1:9" ht="15.75" x14ac:dyDescent="0.25">
      <c r="A75" s="85">
        <v>2</v>
      </c>
      <c r="B75" s="85">
        <v>2</v>
      </c>
      <c r="C75" s="92">
        <v>5</v>
      </c>
      <c r="D75" s="85">
        <v>3</v>
      </c>
      <c r="E75" s="85">
        <v>3</v>
      </c>
      <c r="F75" s="99" t="s">
        <v>59</v>
      </c>
      <c r="G75" s="108"/>
      <c r="H75" s="110"/>
      <c r="I75" s="12" t="e">
        <f>+G75-#REF!</f>
        <v>#REF!</v>
      </c>
    </row>
    <row r="76" spans="1:9" ht="15.75" x14ac:dyDescent="0.25">
      <c r="A76" s="85">
        <v>2</v>
      </c>
      <c r="B76" s="85">
        <v>2</v>
      </c>
      <c r="C76" s="92">
        <v>5</v>
      </c>
      <c r="D76" s="85">
        <v>3</v>
      </c>
      <c r="E76" s="85">
        <v>4</v>
      </c>
      <c r="F76" s="99" t="s">
        <v>60</v>
      </c>
      <c r="G76" s="108">
        <v>329928</v>
      </c>
      <c r="H76" s="110">
        <v>8260</v>
      </c>
      <c r="I76" s="12" t="e">
        <f>+G76-#REF!</f>
        <v>#REF!</v>
      </c>
    </row>
    <row r="77" spans="1:9" ht="15.75" x14ac:dyDescent="0.25">
      <c r="A77" s="85"/>
      <c r="B77" s="85"/>
      <c r="C77" s="92"/>
      <c r="D77" s="85"/>
      <c r="E77" s="85"/>
      <c r="F77" s="99"/>
      <c r="G77" s="108"/>
      <c r="H77" s="110"/>
      <c r="I77" s="12"/>
    </row>
    <row r="78" spans="1:9" ht="16.5" thickBot="1" x14ac:dyDescent="0.3">
      <c r="A78" s="85"/>
      <c r="B78" s="85"/>
      <c r="C78" s="92"/>
      <c r="D78" s="85"/>
      <c r="E78" s="85"/>
      <c r="F78" s="99"/>
      <c r="G78" s="108"/>
      <c r="H78" s="110"/>
      <c r="I78" s="12"/>
    </row>
    <row r="79" spans="1:9" s="21" customFormat="1" ht="16.5" thickBot="1" x14ac:dyDescent="0.3">
      <c r="A79" s="85">
        <v>2</v>
      </c>
      <c r="B79" s="85">
        <v>2</v>
      </c>
      <c r="C79" s="92">
        <v>6</v>
      </c>
      <c r="D79" s="85"/>
      <c r="E79" s="85"/>
      <c r="F79" s="99" t="s">
        <v>61</v>
      </c>
      <c r="G79" s="112">
        <f>G81+G80</f>
        <v>1434252</v>
      </c>
      <c r="H79" s="113">
        <f>H81+H80</f>
        <v>108478.82</v>
      </c>
      <c r="I79" s="15" t="e">
        <f>I81+I80</f>
        <v>#REF!</v>
      </c>
    </row>
    <row r="80" spans="1:9" ht="16.5" thickBot="1" x14ac:dyDescent="0.3">
      <c r="A80" s="120">
        <v>2</v>
      </c>
      <c r="B80" s="120">
        <v>2</v>
      </c>
      <c r="C80" s="121">
        <v>6</v>
      </c>
      <c r="D80" s="120">
        <v>2</v>
      </c>
      <c r="E80" s="120">
        <v>1</v>
      </c>
      <c r="F80" s="122" t="s">
        <v>62</v>
      </c>
      <c r="G80" s="123">
        <v>125000</v>
      </c>
      <c r="H80" s="98"/>
      <c r="I80" s="16" t="e">
        <f>+G80-#REF!</f>
        <v>#REF!</v>
      </c>
    </row>
    <row r="81" spans="1:9" ht="15.75" x14ac:dyDescent="0.25">
      <c r="A81" s="85">
        <v>2</v>
      </c>
      <c r="B81" s="85">
        <v>2</v>
      </c>
      <c r="C81" s="92">
        <v>6</v>
      </c>
      <c r="D81" s="85">
        <v>3</v>
      </c>
      <c r="E81" s="85">
        <v>1</v>
      </c>
      <c r="F81" s="99" t="s">
        <v>63</v>
      </c>
      <c r="G81" s="108">
        <v>1309252</v>
      </c>
      <c r="H81" s="110">
        <v>108478.82</v>
      </c>
      <c r="I81" s="12" t="e">
        <f>+G81-#REF!</f>
        <v>#REF!</v>
      </c>
    </row>
    <row r="82" spans="1:9" ht="15.75" x14ac:dyDescent="0.25">
      <c r="A82" s="85"/>
      <c r="B82" s="85"/>
      <c r="C82" s="92"/>
      <c r="D82" s="85"/>
      <c r="E82" s="85"/>
      <c r="F82" s="99"/>
      <c r="G82" s="108"/>
      <c r="H82" s="110">
        <v>0</v>
      </c>
      <c r="I82" s="12">
        <v>0</v>
      </c>
    </row>
    <row r="83" spans="1:9" ht="15.75" x14ac:dyDescent="0.25">
      <c r="A83" s="85"/>
      <c r="B83" s="85"/>
      <c r="C83" s="92"/>
      <c r="D83" s="85"/>
      <c r="E83" s="85"/>
      <c r="F83" s="99"/>
      <c r="G83" s="108"/>
      <c r="H83" s="110"/>
      <c r="I83" s="12"/>
    </row>
    <row r="84" spans="1:9" ht="32.25" thickBot="1" x14ac:dyDescent="0.3">
      <c r="A84" s="85">
        <v>2</v>
      </c>
      <c r="B84" s="85">
        <v>2</v>
      </c>
      <c r="C84" s="92">
        <v>7</v>
      </c>
      <c r="D84" s="85"/>
      <c r="E84" s="93"/>
      <c r="F84" s="104" t="s">
        <v>64</v>
      </c>
      <c r="G84" s="125">
        <f>G85</f>
        <v>45117</v>
      </c>
      <c r="H84" s="96">
        <f>SUM(H87:H91)</f>
        <v>19800.52</v>
      </c>
      <c r="I84" s="6" t="e">
        <f>SUM(I86:I91)</f>
        <v>#REF!</v>
      </c>
    </row>
    <row r="85" spans="1:9" ht="16.5" thickBot="1" x14ac:dyDescent="0.3">
      <c r="A85" s="85">
        <v>2</v>
      </c>
      <c r="B85" s="85">
        <v>2</v>
      </c>
      <c r="C85" s="92">
        <v>7</v>
      </c>
      <c r="D85" s="85">
        <v>2</v>
      </c>
      <c r="E85" s="93"/>
      <c r="F85" s="104" t="s">
        <v>65</v>
      </c>
      <c r="G85" s="112">
        <f>SUM(G87:G90)</f>
        <v>45117</v>
      </c>
      <c r="H85" s="166">
        <f>SUM(H87:H90)</f>
        <v>19800.52</v>
      </c>
      <c r="I85" s="22" t="e">
        <f>SUM(I86:I90)</f>
        <v>#REF!</v>
      </c>
    </row>
    <row r="86" spans="1:9" ht="31.5" x14ac:dyDescent="0.25">
      <c r="A86" s="85">
        <v>2</v>
      </c>
      <c r="B86" s="85">
        <v>2</v>
      </c>
      <c r="C86" s="92">
        <v>7</v>
      </c>
      <c r="D86" s="85">
        <v>1</v>
      </c>
      <c r="E86" s="119">
        <v>2</v>
      </c>
      <c r="F86" s="126" t="s">
        <v>66</v>
      </c>
      <c r="G86" s="125"/>
      <c r="H86" s="167"/>
      <c r="I86" s="12" t="e">
        <f>+G86-#REF!</f>
        <v>#REF!</v>
      </c>
    </row>
    <row r="87" spans="1:9" ht="31.5" x14ac:dyDescent="0.25">
      <c r="A87" s="85">
        <v>2</v>
      </c>
      <c r="B87" s="85">
        <v>2</v>
      </c>
      <c r="C87" s="92">
        <v>7</v>
      </c>
      <c r="D87" s="85">
        <v>2</v>
      </c>
      <c r="E87" s="119">
        <v>2</v>
      </c>
      <c r="F87" s="126" t="s">
        <v>67</v>
      </c>
      <c r="G87" s="108">
        <v>9117</v>
      </c>
      <c r="H87" s="110">
        <v>0</v>
      </c>
      <c r="I87" s="12" t="e">
        <f>+G87-#REF!</f>
        <v>#REF!</v>
      </c>
    </row>
    <row r="88" spans="1:9" ht="31.5" x14ac:dyDescent="0.25">
      <c r="A88" s="85">
        <v>2</v>
      </c>
      <c r="B88" s="85">
        <v>2</v>
      </c>
      <c r="C88" s="92">
        <v>7</v>
      </c>
      <c r="D88" s="85">
        <v>2</v>
      </c>
      <c r="E88" s="119">
        <v>3</v>
      </c>
      <c r="F88" s="126" t="s">
        <v>68</v>
      </c>
      <c r="G88" s="108"/>
      <c r="H88" s="110">
        <f>G88*12</f>
        <v>0</v>
      </c>
      <c r="I88" s="12" t="e">
        <f>+G88-#REF!</f>
        <v>#REF!</v>
      </c>
    </row>
    <row r="89" spans="1:9" ht="31.5" x14ac:dyDescent="0.25">
      <c r="A89" s="85">
        <v>2</v>
      </c>
      <c r="B89" s="85">
        <v>2</v>
      </c>
      <c r="C89" s="92">
        <v>7</v>
      </c>
      <c r="D89" s="85">
        <v>2</v>
      </c>
      <c r="E89" s="119">
        <v>4</v>
      </c>
      <c r="F89" s="126" t="s">
        <v>69</v>
      </c>
      <c r="G89" s="108">
        <v>24000</v>
      </c>
      <c r="H89" s="110"/>
      <c r="I89" s="12" t="e">
        <f>+G89-#REF!</f>
        <v>#REF!</v>
      </c>
    </row>
    <row r="90" spans="1:9" ht="31.5" x14ac:dyDescent="0.25">
      <c r="A90" s="85">
        <v>2</v>
      </c>
      <c r="B90" s="85">
        <v>2</v>
      </c>
      <c r="C90" s="92">
        <v>7</v>
      </c>
      <c r="D90" s="85">
        <v>2</v>
      </c>
      <c r="E90" s="119">
        <v>6</v>
      </c>
      <c r="F90" s="126" t="s">
        <v>70</v>
      </c>
      <c r="G90" s="108">
        <v>12000</v>
      </c>
      <c r="H90" s="110">
        <f>9670.1+9530.42+600</f>
        <v>19800.52</v>
      </c>
      <c r="I90" s="12" t="e">
        <f>+G90-#REF!</f>
        <v>#REF!</v>
      </c>
    </row>
    <row r="91" spans="1:9" ht="15.75" x14ac:dyDescent="0.25">
      <c r="A91" s="85"/>
      <c r="B91" s="85"/>
      <c r="C91" s="92"/>
      <c r="D91" s="85"/>
      <c r="E91" s="119"/>
      <c r="F91" s="106"/>
      <c r="G91" s="108"/>
      <c r="H91" s="110"/>
      <c r="I91" s="12"/>
    </row>
    <row r="92" spans="1:9" ht="16.5" thickBot="1" x14ac:dyDescent="0.3">
      <c r="A92" s="85">
        <v>2</v>
      </c>
      <c r="B92" s="85">
        <v>2</v>
      </c>
      <c r="C92" s="92">
        <v>8</v>
      </c>
      <c r="D92" s="85"/>
      <c r="E92" s="93"/>
      <c r="F92" s="104" t="s">
        <v>71</v>
      </c>
      <c r="G92" s="125">
        <f>SUM(G93+G94)+G96+G100</f>
        <v>4392936</v>
      </c>
      <c r="H92" s="96">
        <f>H93+H94+H96+H100</f>
        <v>256177.13999999998</v>
      </c>
      <c r="I92" s="6" t="e">
        <f>I93+I94+I96+I100</f>
        <v>#REF!</v>
      </c>
    </row>
    <row r="93" spans="1:9" ht="15.75" x14ac:dyDescent="0.25">
      <c r="A93" s="85">
        <v>2</v>
      </c>
      <c r="B93" s="85">
        <v>2</v>
      </c>
      <c r="C93" s="92">
        <v>8</v>
      </c>
      <c r="D93" s="85">
        <v>2</v>
      </c>
      <c r="E93" s="119"/>
      <c r="F93" s="127" t="s">
        <v>72</v>
      </c>
      <c r="G93" s="107">
        <v>102000</v>
      </c>
      <c r="H93" s="109">
        <v>5155.28</v>
      </c>
      <c r="I93" s="13" t="e">
        <f>+G93-#REF!</f>
        <v>#REF!</v>
      </c>
    </row>
    <row r="94" spans="1:9" ht="15.75" x14ac:dyDescent="0.25">
      <c r="A94" s="85">
        <v>2</v>
      </c>
      <c r="B94" s="85">
        <v>2</v>
      </c>
      <c r="C94" s="92">
        <v>8</v>
      </c>
      <c r="D94" s="85">
        <v>4</v>
      </c>
      <c r="E94" s="85"/>
      <c r="F94" s="127" t="s">
        <v>73</v>
      </c>
      <c r="G94" s="108">
        <v>0</v>
      </c>
      <c r="H94" s="110">
        <v>0</v>
      </c>
      <c r="I94" s="12">
        <v>0</v>
      </c>
    </row>
    <row r="95" spans="1:9" ht="15.75" x14ac:dyDescent="0.25">
      <c r="A95" s="85"/>
      <c r="B95" s="85"/>
      <c r="C95" s="92"/>
      <c r="D95" s="85"/>
      <c r="E95" s="85"/>
      <c r="F95" s="127"/>
      <c r="G95" s="108"/>
      <c r="H95" s="110"/>
      <c r="I95" s="12"/>
    </row>
    <row r="96" spans="1:9" ht="16.5" thickBot="1" x14ac:dyDescent="0.3">
      <c r="A96" s="85">
        <v>2</v>
      </c>
      <c r="B96" s="85">
        <v>2</v>
      </c>
      <c r="C96" s="92">
        <v>8</v>
      </c>
      <c r="D96" s="85">
        <v>6</v>
      </c>
      <c r="E96" s="93"/>
      <c r="F96" s="128" t="s">
        <v>74</v>
      </c>
      <c r="G96" s="125">
        <f>G97+G98</f>
        <v>1894000</v>
      </c>
      <c r="H96" s="117">
        <f>H97+H98</f>
        <v>0</v>
      </c>
      <c r="I96" s="19" t="e">
        <f>I97+I98</f>
        <v>#REF!</v>
      </c>
    </row>
    <row r="97" spans="1:9" ht="15.75" x14ac:dyDescent="0.25">
      <c r="A97" s="85">
        <v>2</v>
      </c>
      <c r="B97" s="85">
        <v>2</v>
      </c>
      <c r="C97" s="92">
        <v>8</v>
      </c>
      <c r="D97" s="85">
        <v>6</v>
      </c>
      <c r="E97" s="85">
        <v>1</v>
      </c>
      <c r="F97" s="127" t="s">
        <v>75</v>
      </c>
      <c r="G97" s="107">
        <v>1882000</v>
      </c>
      <c r="H97" s="109">
        <v>0</v>
      </c>
      <c r="I97" s="12" t="e">
        <f>+G97-#REF!</f>
        <v>#REF!</v>
      </c>
    </row>
    <row r="98" spans="1:9" ht="15.75" x14ac:dyDescent="0.25">
      <c r="A98" s="85">
        <v>2</v>
      </c>
      <c r="B98" s="85">
        <v>2</v>
      </c>
      <c r="C98" s="92">
        <v>8</v>
      </c>
      <c r="D98" s="85">
        <v>6</v>
      </c>
      <c r="E98" s="85">
        <v>2</v>
      </c>
      <c r="F98" s="127" t="s">
        <v>76</v>
      </c>
      <c r="G98" s="108">
        <v>12000</v>
      </c>
      <c r="H98" s="110"/>
      <c r="I98" s="12" t="e">
        <f>+G98-#REF!</f>
        <v>#REF!</v>
      </c>
    </row>
    <row r="99" spans="1:9" ht="15.75" x14ac:dyDescent="0.25">
      <c r="A99" s="85"/>
      <c r="B99" s="85"/>
      <c r="C99" s="92"/>
      <c r="D99" s="85"/>
      <c r="E99" s="85"/>
      <c r="F99" s="127"/>
      <c r="G99" s="108"/>
      <c r="H99" s="110">
        <v>0</v>
      </c>
      <c r="I99" s="12">
        <v>0</v>
      </c>
    </row>
    <row r="100" spans="1:9" ht="16.5" thickBot="1" x14ac:dyDescent="0.3">
      <c r="A100" s="85">
        <v>2</v>
      </c>
      <c r="B100" s="85">
        <v>2</v>
      </c>
      <c r="C100" s="92">
        <v>8</v>
      </c>
      <c r="D100" s="85">
        <v>7</v>
      </c>
      <c r="E100" s="93"/>
      <c r="F100" s="128" t="s">
        <v>77</v>
      </c>
      <c r="G100" s="129">
        <f>G101+G102+G103+G104+G105</f>
        <v>2396936</v>
      </c>
      <c r="H100" s="118">
        <f>H101+H102+H103+H104+H105</f>
        <v>251021.86</v>
      </c>
      <c r="I100" s="6" t="e">
        <f>I101+I102+I103+I104+I105</f>
        <v>#REF!</v>
      </c>
    </row>
    <row r="101" spans="1:9" ht="15.75" x14ac:dyDescent="0.25">
      <c r="A101" s="85">
        <v>2</v>
      </c>
      <c r="B101" s="85">
        <v>2</v>
      </c>
      <c r="C101" s="92">
        <v>8</v>
      </c>
      <c r="D101" s="85">
        <v>7</v>
      </c>
      <c r="E101" s="85">
        <v>1</v>
      </c>
      <c r="F101" s="106" t="s">
        <v>78</v>
      </c>
      <c r="G101" s="108">
        <v>500000</v>
      </c>
      <c r="H101" s="110">
        <v>0</v>
      </c>
      <c r="I101" s="13" t="e">
        <f>+G101-#REF!</f>
        <v>#REF!</v>
      </c>
    </row>
    <row r="102" spans="1:9" ht="15.75" x14ac:dyDescent="0.25">
      <c r="A102" s="85">
        <v>2</v>
      </c>
      <c r="B102" s="85">
        <v>2</v>
      </c>
      <c r="C102" s="92">
        <v>8</v>
      </c>
      <c r="D102" s="85">
        <v>7</v>
      </c>
      <c r="E102" s="119">
        <v>3</v>
      </c>
      <c r="F102" s="106" t="s">
        <v>79</v>
      </c>
      <c r="G102" s="108">
        <v>300000</v>
      </c>
      <c r="H102" s="110"/>
      <c r="I102" s="24" t="e">
        <f>+G102-#REF!</f>
        <v>#REF!</v>
      </c>
    </row>
    <row r="103" spans="1:9" ht="15.75" x14ac:dyDescent="0.25">
      <c r="A103" s="85">
        <v>2</v>
      </c>
      <c r="B103" s="85">
        <v>2</v>
      </c>
      <c r="C103" s="92">
        <v>8</v>
      </c>
      <c r="D103" s="85">
        <v>7</v>
      </c>
      <c r="E103" s="85">
        <v>4</v>
      </c>
      <c r="F103" s="106" t="s">
        <v>80</v>
      </c>
      <c r="G103" s="108"/>
      <c r="H103" s="110">
        <v>10000</v>
      </c>
      <c r="I103" s="24" t="e">
        <f>+G103-#REF!</f>
        <v>#REF!</v>
      </c>
    </row>
    <row r="104" spans="1:9" ht="31.5" x14ac:dyDescent="0.25">
      <c r="A104" s="85">
        <v>2</v>
      </c>
      <c r="B104" s="85">
        <v>2</v>
      </c>
      <c r="C104" s="92">
        <v>8</v>
      </c>
      <c r="D104" s="85">
        <v>7</v>
      </c>
      <c r="E104" s="85">
        <v>5</v>
      </c>
      <c r="F104" s="106" t="s">
        <v>81</v>
      </c>
      <c r="G104" s="108">
        <v>12000</v>
      </c>
      <c r="H104" s="110">
        <v>3233.36</v>
      </c>
      <c r="I104" s="24" t="e">
        <f>+G104-#REF!</f>
        <v>#REF!</v>
      </c>
    </row>
    <row r="105" spans="1:9" ht="15.75" x14ac:dyDescent="0.25">
      <c r="A105" s="85">
        <v>2</v>
      </c>
      <c r="B105" s="85">
        <v>2</v>
      </c>
      <c r="C105" s="92">
        <v>8</v>
      </c>
      <c r="D105" s="85">
        <v>7</v>
      </c>
      <c r="E105" s="85">
        <v>6</v>
      </c>
      <c r="F105" s="106" t="s">
        <v>82</v>
      </c>
      <c r="G105" s="108">
        <v>1584936</v>
      </c>
      <c r="H105" s="110">
        <f>38200+11800+43563+144225.5</f>
        <v>237788.5</v>
      </c>
      <c r="I105" s="24" t="e">
        <f>+G105-#REF!</f>
        <v>#REF!</v>
      </c>
    </row>
    <row r="106" spans="1:9" ht="16.5" thickBot="1" x14ac:dyDescent="0.3">
      <c r="A106" s="85"/>
      <c r="B106" s="85"/>
      <c r="C106" s="92"/>
      <c r="D106" s="85"/>
      <c r="E106" s="85"/>
      <c r="F106" s="106"/>
      <c r="G106" s="111"/>
      <c r="H106" s="117"/>
      <c r="I106" s="19"/>
    </row>
    <row r="107" spans="1:9" ht="16.5" thickBot="1" x14ac:dyDescent="0.3">
      <c r="A107" s="85">
        <v>2</v>
      </c>
      <c r="B107" s="85">
        <v>2</v>
      </c>
      <c r="C107" s="92">
        <v>9</v>
      </c>
      <c r="D107" s="85"/>
      <c r="E107" s="85"/>
      <c r="F107" s="104" t="s">
        <v>83</v>
      </c>
      <c r="G107" s="100">
        <f>G108+G109</f>
        <v>12000</v>
      </c>
      <c r="H107" s="168">
        <f>H108+H109</f>
        <v>33893.49</v>
      </c>
      <c r="I107" s="25" t="e">
        <f>I108+I109</f>
        <v>#REF!</v>
      </c>
    </row>
    <row r="108" spans="1:9" ht="16.5" thickBot="1" x14ac:dyDescent="0.3">
      <c r="A108" s="85">
        <v>2</v>
      </c>
      <c r="B108" s="85">
        <v>2</v>
      </c>
      <c r="C108" s="92">
        <v>9</v>
      </c>
      <c r="D108" s="85">
        <v>2</v>
      </c>
      <c r="E108" s="85"/>
      <c r="F108" s="127" t="s">
        <v>84</v>
      </c>
      <c r="G108" s="97"/>
      <c r="H108" s="130"/>
      <c r="I108" s="26" t="e">
        <f>+G108-#REF!</f>
        <v>#REF!</v>
      </c>
    </row>
    <row r="109" spans="1:9" ht="15.75" x14ac:dyDescent="0.25">
      <c r="A109" s="85">
        <v>2</v>
      </c>
      <c r="B109" s="85">
        <v>2</v>
      </c>
      <c r="C109" s="92">
        <v>9</v>
      </c>
      <c r="D109" s="85">
        <v>2</v>
      </c>
      <c r="E109" s="85">
        <v>1</v>
      </c>
      <c r="F109" s="106" t="s">
        <v>84</v>
      </c>
      <c r="G109" s="108">
        <v>12000</v>
      </c>
      <c r="H109" s="110">
        <f>2066.99+300+175+300+275+175+300+300+30001.5</f>
        <v>33893.49</v>
      </c>
      <c r="I109" s="12" t="e">
        <f>+G109-#REF!</f>
        <v>#REF!</v>
      </c>
    </row>
    <row r="110" spans="1:9" ht="15.75" x14ac:dyDescent="0.25">
      <c r="A110" s="85"/>
      <c r="B110" s="85"/>
      <c r="C110" s="92"/>
      <c r="D110" s="85"/>
      <c r="E110" s="85"/>
      <c r="F110" s="106"/>
      <c r="G110" s="108"/>
      <c r="H110" s="110"/>
      <c r="I110" s="12"/>
    </row>
    <row r="111" spans="1:9" ht="16.5" thickBot="1" x14ac:dyDescent="0.3">
      <c r="A111" s="85">
        <v>2</v>
      </c>
      <c r="B111" s="85">
        <v>3</v>
      </c>
      <c r="C111" s="92"/>
      <c r="D111" s="85"/>
      <c r="E111" s="93"/>
      <c r="F111" s="104" t="s">
        <v>85</v>
      </c>
      <c r="G111" s="95">
        <f>G112+G116+G119+G125+G129+G137</f>
        <v>729304</v>
      </c>
      <c r="H111" s="165">
        <f>H112+H116+H119+H125+H129+H137</f>
        <v>85512.01</v>
      </c>
      <c r="I111" s="5" t="e">
        <f>I112+I116+I119+I125+I129+I137</f>
        <v>#REF!</v>
      </c>
    </row>
    <row r="112" spans="1:9" ht="16.5" thickBot="1" x14ac:dyDescent="0.3">
      <c r="A112" s="85">
        <v>2</v>
      </c>
      <c r="B112" s="85">
        <v>3</v>
      </c>
      <c r="C112" s="92">
        <v>1</v>
      </c>
      <c r="D112" s="85"/>
      <c r="E112" s="93"/>
      <c r="F112" s="131" t="s">
        <v>86</v>
      </c>
      <c r="G112" s="112">
        <f>G113</f>
        <v>0</v>
      </c>
      <c r="H112" s="113">
        <f>H113</f>
        <v>0</v>
      </c>
      <c r="I112" s="15">
        <f>I113</f>
        <v>0</v>
      </c>
    </row>
    <row r="113" spans="1:9" ht="15.75" x14ac:dyDescent="0.25">
      <c r="A113" s="85">
        <v>2</v>
      </c>
      <c r="B113" s="85">
        <v>3</v>
      </c>
      <c r="C113" s="92">
        <v>1</v>
      </c>
      <c r="D113" s="85">
        <v>1</v>
      </c>
      <c r="E113" s="93"/>
      <c r="F113" s="132" t="s">
        <v>87</v>
      </c>
      <c r="G113" s="108">
        <f>G114</f>
        <v>0</v>
      </c>
      <c r="H113" s="103"/>
      <c r="I113" s="9"/>
    </row>
    <row r="114" spans="1:9" ht="12" customHeight="1" x14ac:dyDescent="0.25">
      <c r="A114" s="85">
        <v>2</v>
      </c>
      <c r="B114" s="85">
        <v>3</v>
      </c>
      <c r="C114" s="92">
        <v>1</v>
      </c>
      <c r="D114" s="85">
        <v>1</v>
      </c>
      <c r="E114" s="93">
        <v>1</v>
      </c>
      <c r="F114" s="132" t="s">
        <v>87</v>
      </c>
      <c r="G114" s="108"/>
      <c r="H114" s="110">
        <v>0</v>
      </c>
      <c r="I114" s="12">
        <v>0</v>
      </c>
    </row>
    <row r="115" spans="1:9" ht="12" customHeight="1" x14ac:dyDescent="0.25">
      <c r="A115" s="85"/>
      <c r="B115" s="85"/>
      <c r="C115" s="92"/>
      <c r="D115" s="85"/>
      <c r="E115" s="93"/>
      <c r="F115" s="131"/>
      <c r="G115" s="108"/>
      <c r="H115" s="110"/>
      <c r="I115" s="12"/>
    </row>
    <row r="116" spans="1:9" ht="12" customHeight="1" thickBot="1" x14ac:dyDescent="0.3">
      <c r="A116" s="85">
        <v>2</v>
      </c>
      <c r="B116" s="85">
        <v>3</v>
      </c>
      <c r="C116" s="92">
        <v>2</v>
      </c>
      <c r="D116" s="85"/>
      <c r="E116" s="93"/>
      <c r="F116" s="131" t="s">
        <v>88</v>
      </c>
      <c r="G116" s="108"/>
      <c r="H116" s="110">
        <f>H117</f>
        <v>0</v>
      </c>
      <c r="I116" s="12">
        <f>I117</f>
        <v>0</v>
      </c>
    </row>
    <row r="117" spans="1:9" ht="12" customHeight="1" x14ac:dyDescent="0.25">
      <c r="A117" s="85">
        <v>2</v>
      </c>
      <c r="B117" s="85">
        <v>3</v>
      </c>
      <c r="C117" s="92">
        <v>2</v>
      </c>
      <c r="D117" s="85">
        <v>3</v>
      </c>
      <c r="E117" s="93"/>
      <c r="F117" s="132" t="s">
        <v>89</v>
      </c>
      <c r="G117" s="107"/>
      <c r="H117" s="109">
        <v>0</v>
      </c>
      <c r="I117" s="13">
        <v>0</v>
      </c>
    </row>
    <row r="118" spans="1:9" s="17" customFormat="1" ht="15.75" x14ac:dyDescent="0.25">
      <c r="A118" s="85"/>
      <c r="B118" s="85"/>
      <c r="C118" s="92"/>
      <c r="D118" s="85"/>
      <c r="E118" s="93"/>
      <c r="F118" s="131"/>
      <c r="G118" s="108"/>
      <c r="H118" s="103"/>
      <c r="I118" s="9"/>
    </row>
    <row r="119" spans="1:9" ht="16.5" thickBot="1" x14ac:dyDescent="0.3">
      <c r="A119" s="85">
        <v>2</v>
      </c>
      <c r="B119" s="115">
        <v>3</v>
      </c>
      <c r="C119" s="116">
        <v>3</v>
      </c>
      <c r="D119" s="93"/>
      <c r="E119" s="93"/>
      <c r="F119" s="104" t="s">
        <v>90</v>
      </c>
      <c r="G119" s="95">
        <f>G120+G121+G122+G123</f>
        <v>101500</v>
      </c>
      <c r="H119" s="105">
        <f>H120+H121+H122+H123</f>
        <v>0</v>
      </c>
      <c r="I119" s="10" t="e">
        <f>I120+I121+I122+I123</f>
        <v>#REF!</v>
      </c>
    </row>
    <row r="120" spans="1:9" ht="15.75" x14ac:dyDescent="0.25">
      <c r="A120" s="85">
        <v>2</v>
      </c>
      <c r="B120" s="85">
        <v>3</v>
      </c>
      <c r="C120" s="92">
        <v>3</v>
      </c>
      <c r="D120" s="85">
        <v>1</v>
      </c>
      <c r="E120" s="85"/>
      <c r="F120" s="127" t="s">
        <v>91</v>
      </c>
      <c r="G120" s="107">
        <v>68000</v>
      </c>
      <c r="H120" s="109"/>
      <c r="I120" s="12" t="e">
        <f>+G120-#REF!</f>
        <v>#REF!</v>
      </c>
    </row>
    <row r="121" spans="1:9" ht="15.75" x14ac:dyDescent="0.25">
      <c r="A121" s="85">
        <v>2</v>
      </c>
      <c r="B121" s="85">
        <v>3</v>
      </c>
      <c r="C121" s="92">
        <v>3</v>
      </c>
      <c r="D121" s="85">
        <v>2</v>
      </c>
      <c r="E121" s="85"/>
      <c r="F121" s="127" t="s">
        <v>92</v>
      </c>
      <c r="G121" s="108">
        <v>23000</v>
      </c>
      <c r="H121" s="110">
        <v>0</v>
      </c>
      <c r="I121" s="12" t="e">
        <f>+G121-#REF!</f>
        <v>#REF!</v>
      </c>
    </row>
    <row r="122" spans="1:9" ht="15.75" x14ac:dyDescent="0.25">
      <c r="A122" s="85">
        <v>2</v>
      </c>
      <c r="B122" s="85">
        <v>3</v>
      </c>
      <c r="C122" s="92">
        <v>3</v>
      </c>
      <c r="D122" s="85">
        <v>3</v>
      </c>
      <c r="E122" s="85"/>
      <c r="F122" s="127" t="s">
        <v>93</v>
      </c>
      <c r="G122" s="108">
        <v>0</v>
      </c>
      <c r="H122" s="110">
        <v>0</v>
      </c>
      <c r="I122" s="12">
        <v>0</v>
      </c>
    </row>
    <row r="123" spans="1:9" ht="15.75" x14ac:dyDescent="0.25">
      <c r="A123" s="85">
        <v>2</v>
      </c>
      <c r="B123" s="85">
        <v>3</v>
      </c>
      <c r="C123" s="92">
        <v>3</v>
      </c>
      <c r="D123" s="85">
        <v>4</v>
      </c>
      <c r="E123" s="85"/>
      <c r="F123" s="127" t="s">
        <v>94</v>
      </c>
      <c r="G123" s="108">
        <v>10500</v>
      </c>
      <c r="H123" s="110"/>
      <c r="I123" s="12" t="e">
        <f>+G123-#REF!</f>
        <v>#REF!</v>
      </c>
    </row>
    <row r="124" spans="1:9" s="28" customFormat="1" ht="16.5" thickBot="1" x14ac:dyDescent="0.3">
      <c r="A124" s="85"/>
      <c r="B124" s="85"/>
      <c r="C124" s="92"/>
      <c r="D124" s="85"/>
      <c r="E124" s="85"/>
      <c r="F124" s="127"/>
      <c r="G124" s="108"/>
      <c r="H124" s="110"/>
      <c r="I124" s="12"/>
    </row>
    <row r="125" spans="1:9" s="28" customFormat="1" ht="32.25" thickBot="1" x14ac:dyDescent="0.3">
      <c r="A125" s="93">
        <v>2</v>
      </c>
      <c r="B125" s="93">
        <v>3</v>
      </c>
      <c r="C125" s="133">
        <v>7</v>
      </c>
      <c r="D125" s="93"/>
      <c r="E125" s="93"/>
      <c r="F125" s="128" t="s">
        <v>95</v>
      </c>
      <c r="G125" s="95">
        <f t="shared" ref="G125:I126" si="0">G126</f>
        <v>300000</v>
      </c>
      <c r="H125" s="117">
        <f t="shared" si="0"/>
        <v>0</v>
      </c>
      <c r="I125" s="16" t="e">
        <f t="shared" si="0"/>
        <v>#REF!</v>
      </c>
    </row>
    <row r="126" spans="1:9" s="29" customFormat="1" ht="16.5" thickBot="1" x14ac:dyDescent="0.3">
      <c r="A126" s="93">
        <v>2</v>
      </c>
      <c r="B126" s="93">
        <v>3</v>
      </c>
      <c r="C126" s="133">
        <v>7</v>
      </c>
      <c r="D126" s="93">
        <v>1</v>
      </c>
      <c r="E126" s="93"/>
      <c r="F126" s="128" t="s">
        <v>96</v>
      </c>
      <c r="G126" s="95">
        <f t="shared" si="0"/>
        <v>300000</v>
      </c>
      <c r="H126" s="98">
        <f t="shared" si="0"/>
        <v>0</v>
      </c>
      <c r="I126" s="16" t="e">
        <f>I127</f>
        <v>#REF!</v>
      </c>
    </row>
    <row r="127" spans="1:9" ht="15.75" x14ac:dyDescent="0.25">
      <c r="A127" s="119">
        <v>2</v>
      </c>
      <c r="B127" s="119">
        <v>3</v>
      </c>
      <c r="C127" s="134">
        <v>7</v>
      </c>
      <c r="D127" s="119">
        <v>1</v>
      </c>
      <c r="E127" s="119">
        <v>1</v>
      </c>
      <c r="F127" s="106" t="s">
        <v>97</v>
      </c>
      <c r="G127" s="108">
        <v>300000</v>
      </c>
      <c r="H127" s="109"/>
      <c r="I127" s="13" t="e">
        <f>+G127-#REF!</f>
        <v>#REF!</v>
      </c>
    </row>
    <row r="128" spans="1:9" ht="15.75" x14ac:dyDescent="0.25">
      <c r="A128" s="85"/>
      <c r="B128" s="85"/>
      <c r="C128" s="92"/>
      <c r="D128" s="85"/>
      <c r="E128" s="85"/>
      <c r="F128" s="106"/>
      <c r="G128" s="108"/>
      <c r="H128" s="110"/>
      <c r="I128" s="12"/>
    </row>
    <row r="129" spans="1:9" ht="16.5" thickBot="1" x14ac:dyDescent="0.3">
      <c r="A129" s="85">
        <v>2</v>
      </c>
      <c r="B129" s="85">
        <v>3</v>
      </c>
      <c r="C129" s="92">
        <v>9</v>
      </c>
      <c r="D129" s="85"/>
      <c r="E129" s="93"/>
      <c r="F129" s="104" t="s">
        <v>98</v>
      </c>
      <c r="G129" s="129">
        <f>SUM(G130:G134)</f>
        <v>327804</v>
      </c>
      <c r="H129" s="105">
        <f>H130+H131+H132+H133+H134+H135</f>
        <v>85512.01</v>
      </c>
      <c r="I129" s="10" t="e">
        <f>I130+I131+I132+I133+I134+I135</f>
        <v>#REF!</v>
      </c>
    </row>
    <row r="130" spans="1:9" ht="15.75" x14ac:dyDescent="0.25">
      <c r="A130" s="85">
        <v>2</v>
      </c>
      <c r="B130" s="85">
        <v>3</v>
      </c>
      <c r="C130" s="92">
        <v>9</v>
      </c>
      <c r="D130" s="85">
        <v>1</v>
      </c>
      <c r="E130" s="85"/>
      <c r="F130" s="106" t="s">
        <v>99</v>
      </c>
      <c r="G130" s="107">
        <v>8000</v>
      </c>
      <c r="H130" s="110"/>
      <c r="I130" s="12" t="e">
        <f>+G130-#REF!</f>
        <v>#REF!</v>
      </c>
    </row>
    <row r="131" spans="1:9" ht="31.5" x14ac:dyDescent="0.25">
      <c r="A131" s="85">
        <v>2</v>
      </c>
      <c r="B131" s="85">
        <v>3</v>
      </c>
      <c r="C131" s="92">
        <v>9</v>
      </c>
      <c r="D131" s="85">
        <v>2</v>
      </c>
      <c r="E131" s="85"/>
      <c r="F131" s="106" t="s">
        <v>100</v>
      </c>
      <c r="G131" s="108">
        <v>195000</v>
      </c>
      <c r="H131" s="110">
        <v>79914.009999999995</v>
      </c>
      <c r="I131" s="12" t="e">
        <f>+G131-#REF!</f>
        <v>#REF!</v>
      </c>
    </row>
    <row r="132" spans="1:9" ht="15.75" x14ac:dyDescent="0.25">
      <c r="A132" s="85">
        <v>2</v>
      </c>
      <c r="B132" s="119">
        <v>3</v>
      </c>
      <c r="C132" s="119">
        <v>9</v>
      </c>
      <c r="D132" s="85">
        <v>5</v>
      </c>
      <c r="E132" s="85"/>
      <c r="F132" s="135" t="s">
        <v>101</v>
      </c>
      <c r="G132" s="108">
        <v>10000</v>
      </c>
      <c r="H132" s="110"/>
      <c r="I132" s="12" t="e">
        <f>+G132-#REF!</f>
        <v>#REF!</v>
      </c>
    </row>
    <row r="133" spans="1:9" ht="15.75" x14ac:dyDescent="0.25">
      <c r="A133" s="85">
        <v>2</v>
      </c>
      <c r="B133" s="85">
        <v>3</v>
      </c>
      <c r="C133" s="92">
        <v>9</v>
      </c>
      <c r="D133" s="85">
        <v>8</v>
      </c>
      <c r="E133" s="85"/>
      <c r="F133" s="132" t="s">
        <v>102</v>
      </c>
      <c r="G133" s="108">
        <v>20000</v>
      </c>
      <c r="H133" s="110">
        <v>2600</v>
      </c>
      <c r="I133" s="12" t="e">
        <f>+G133-#REF!</f>
        <v>#REF!</v>
      </c>
    </row>
    <row r="134" spans="1:9" ht="15.75" x14ac:dyDescent="0.25">
      <c r="A134" s="85">
        <v>2</v>
      </c>
      <c r="B134" s="85">
        <v>3</v>
      </c>
      <c r="C134" s="92">
        <v>9</v>
      </c>
      <c r="D134" s="85">
        <v>9</v>
      </c>
      <c r="E134" s="85"/>
      <c r="F134" s="132" t="s">
        <v>103</v>
      </c>
      <c r="G134" s="108">
        <v>94804</v>
      </c>
      <c r="H134" s="110">
        <f>100+100+100+100+100+195+1200+1103</f>
        <v>2998</v>
      </c>
      <c r="I134" s="12" t="e">
        <f>+G134-#REF!</f>
        <v>#REF!</v>
      </c>
    </row>
    <row r="135" spans="1:9" ht="15.75" x14ac:dyDescent="0.25">
      <c r="A135" s="85">
        <v>2</v>
      </c>
      <c r="B135" s="85">
        <v>3</v>
      </c>
      <c r="C135" s="92">
        <v>9</v>
      </c>
      <c r="D135" s="85">
        <v>9</v>
      </c>
      <c r="E135" s="85">
        <v>2</v>
      </c>
      <c r="F135" s="132" t="s">
        <v>104</v>
      </c>
      <c r="G135" s="108"/>
      <c r="H135" s="110">
        <v>0</v>
      </c>
      <c r="I135" s="12">
        <v>0</v>
      </c>
    </row>
    <row r="136" spans="1:9" ht="15.75" x14ac:dyDescent="0.25">
      <c r="A136" s="85"/>
      <c r="B136" s="85"/>
      <c r="C136" s="92"/>
      <c r="D136" s="85"/>
      <c r="E136" s="85"/>
      <c r="F136" s="106"/>
      <c r="G136" s="108"/>
      <c r="H136" s="110"/>
      <c r="I136" s="12"/>
    </row>
    <row r="137" spans="1:9" ht="16.5" thickBot="1" x14ac:dyDescent="0.3">
      <c r="A137" s="85">
        <v>2</v>
      </c>
      <c r="B137" s="85">
        <v>6</v>
      </c>
      <c r="C137" s="92"/>
      <c r="D137" s="85"/>
      <c r="E137" s="93"/>
      <c r="F137" s="104" t="s">
        <v>105</v>
      </c>
      <c r="G137" s="96">
        <f>G138+G146+G150</f>
        <v>0</v>
      </c>
      <c r="H137" s="96">
        <f>H138+H146+H150</f>
        <v>0</v>
      </c>
      <c r="I137" s="6" t="e">
        <f>I138+I146+I150+I139</f>
        <v>#REF!</v>
      </c>
    </row>
    <row r="138" spans="1:9" ht="16.5" thickBot="1" x14ac:dyDescent="0.3">
      <c r="A138" s="85">
        <v>2</v>
      </c>
      <c r="B138" s="85">
        <v>6</v>
      </c>
      <c r="C138" s="92">
        <v>1</v>
      </c>
      <c r="D138" s="85"/>
      <c r="E138" s="119"/>
      <c r="F138" s="128" t="s">
        <v>106</v>
      </c>
      <c r="G138" s="97">
        <f>G140+G141+G142+G144+G145</f>
        <v>0</v>
      </c>
      <c r="H138" s="169">
        <f>+H139+H140+H141+H142+H143+H144</f>
        <v>0</v>
      </c>
      <c r="I138" s="7">
        <f>I140+I141+I142+I144+I145</f>
        <v>0</v>
      </c>
    </row>
    <row r="139" spans="1:9" ht="16.5" thickBot="1" x14ac:dyDescent="0.3">
      <c r="A139" s="85">
        <v>2</v>
      </c>
      <c r="B139" s="85">
        <v>6</v>
      </c>
      <c r="C139" s="92">
        <v>8</v>
      </c>
      <c r="D139" s="85">
        <v>8</v>
      </c>
      <c r="E139" s="119"/>
      <c r="F139" s="136" t="s">
        <v>107</v>
      </c>
      <c r="G139" s="108">
        <f>G141+G142+G143+G145+G146</f>
        <v>0</v>
      </c>
      <c r="H139" s="124">
        <f>H141+H142+H143+H145+H146</f>
        <v>0</v>
      </c>
      <c r="I139" s="7" t="e">
        <f>+G139-#REF!</f>
        <v>#REF!</v>
      </c>
    </row>
    <row r="140" spans="1:9" ht="15.75" x14ac:dyDescent="0.25">
      <c r="A140" s="85">
        <v>2</v>
      </c>
      <c r="B140" s="85">
        <v>6</v>
      </c>
      <c r="C140" s="92">
        <v>1</v>
      </c>
      <c r="D140" s="85">
        <v>1</v>
      </c>
      <c r="E140" s="119"/>
      <c r="F140" s="127" t="s">
        <v>108</v>
      </c>
      <c r="G140" s="108"/>
      <c r="H140" s="110"/>
      <c r="I140" s="13"/>
    </row>
    <row r="141" spans="1:9" ht="15.75" x14ac:dyDescent="0.25">
      <c r="A141" s="85">
        <v>2</v>
      </c>
      <c r="B141" s="85">
        <v>6</v>
      </c>
      <c r="C141" s="92">
        <v>1</v>
      </c>
      <c r="D141" s="85">
        <v>4</v>
      </c>
      <c r="E141" s="119"/>
      <c r="F141" s="127" t="s">
        <v>109</v>
      </c>
      <c r="G141" s="108"/>
      <c r="H141" s="110"/>
      <c r="I141" s="12"/>
    </row>
    <row r="142" spans="1:9" ht="15.75" x14ac:dyDescent="0.25">
      <c r="A142" s="85">
        <v>2</v>
      </c>
      <c r="B142" s="85">
        <v>6</v>
      </c>
      <c r="C142" s="92">
        <v>1</v>
      </c>
      <c r="D142" s="85">
        <v>7</v>
      </c>
      <c r="E142" s="119"/>
      <c r="F142" s="127" t="s">
        <v>110</v>
      </c>
      <c r="G142" s="108"/>
      <c r="H142" s="110">
        <v>0</v>
      </c>
      <c r="I142" s="12">
        <v>0</v>
      </c>
    </row>
    <row r="143" spans="1:9" ht="15.75" x14ac:dyDescent="0.25">
      <c r="A143" s="85">
        <v>2</v>
      </c>
      <c r="B143" s="85">
        <v>6</v>
      </c>
      <c r="C143" s="92">
        <v>1</v>
      </c>
      <c r="D143" s="85">
        <v>8</v>
      </c>
      <c r="E143" s="119"/>
      <c r="F143" s="127" t="s">
        <v>111</v>
      </c>
      <c r="G143" s="108"/>
      <c r="H143" s="110"/>
      <c r="I143" s="12"/>
    </row>
    <row r="144" spans="1:9" ht="24.75" customHeight="1" x14ac:dyDescent="0.25">
      <c r="A144" s="85">
        <v>2</v>
      </c>
      <c r="B144" s="85">
        <v>6</v>
      </c>
      <c r="C144" s="92">
        <v>1</v>
      </c>
      <c r="D144" s="85">
        <v>9</v>
      </c>
      <c r="E144" s="119"/>
      <c r="F144" s="127" t="s">
        <v>112</v>
      </c>
      <c r="G144" s="108"/>
      <c r="H144" s="110"/>
      <c r="I144" s="12"/>
    </row>
    <row r="145" spans="1:19" ht="15.75" x14ac:dyDescent="0.25">
      <c r="A145" s="85"/>
      <c r="B145" s="85"/>
      <c r="C145" s="92"/>
      <c r="D145" s="85"/>
      <c r="E145" s="93"/>
      <c r="F145" s="128"/>
      <c r="G145" s="125"/>
      <c r="H145" s="96"/>
      <c r="I145" s="6">
        <f>+G145</f>
        <v>0</v>
      </c>
    </row>
    <row r="146" spans="1:19" ht="32.25" thickBot="1" x14ac:dyDescent="0.3">
      <c r="A146" s="85">
        <v>2</v>
      </c>
      <c r="B146" s="85">
        <v>6</v>
      </c>
      <c r="C146" s="92">
        <v>2</v>
      </c>
      <c r="D146" s="85"/>
      <c r="E146" s="93"/>
      <c r="F146" s="128" t="s">
        <v>113</v>
      </c>
      <c r="G146" s="95">
        <f>G147+G148</f>
        <v>0</v>
      </c>
      <c r="H146" s="117">
        <f>H147+H148</f>
        <v>0</v>
      </c>
      <c r="I146" s="19" t="e">
        <f>I147+I148</f>
        <v>#REF!</v>
      </c>
    </row>
    <row r="147" spans="1:19" ht="15.75" x14ac:dyDescent="0.25">
      <c r="A147" s="85">
        <v>2</v>
      </c>
      <c r="B147" s="85">
        <v>6</v>
      </c>
      <c r="C147" s="92">
        <v>2</v>
      </c>
      <c r="D147" s="85">
        <v>1</v>
      </c>
      <c r="E147" s="119"/>
      <c r="F147" s="106" t="s">
        <v>114</v>
      </c>
      <c r="G147" s="108"/>
      <c r="H147" s="110">
        <v>0</v>
      </c>
      <c r="I147" s="12">
        <v>0</v>
      </c>
    </row>
    <row r="148" spans="1:19" ht="15.75" x14ac:dyDescent="0.25">
      <c r="A148" s="85">
        <v>2</v>
      </c>
      <c r="B148" s="85">
        <v>6</v>
      </c>
      <c r="C148" s="92">
        <v>2</v>
      </c>
      <c r="D148" s="85">
        <v>3</v>
      </c>
      <c r="E148" s="119"/>
      <c r="F148" s="106" t="s">
        <v>115</v>
      </c>
      <c r="G148" s="108"/>
      <c r="H148" s="110">
        <f>G148*12</f>
        <v>0</v>
      </c>
      <c r="I148" s="12" t="e">
        <f>+G148-#REF!</f>
        <v>#REF!</v>
      </c>
    </row>
    <row r="149" spans="1:19" ht="15.75" x14ac:dyDescent="0.25">
      <c r="A149" s="85"/>
      <c r="B149" s="85"/>
      <c r="C149" s="92"/>
      <c r="D149" s="85"/>
      <c r="E149" s="93"/>
      <c r="F149" s="104"/>
      <c r="G149" s="125"/>
      <c r="H149" s="96"/>
      <c r="I149" s="6"/>
    </row>
    <row r="150" spans="1:19" ht="31.5" customHeight="1" thickBot="1" x14ac:dyDescent="0.3">
      <c r="A150" s="85">
        <v>2</v>
      </c>
      <c r="B150" s="85">
        <v>6</v>
      </c>
      <c r="C150" s="92">
        <v>4</v>
      </c>
      <c r="D150" s="85"/>
      <c r="E150" s="93"/>
      <c r="F150" s="104" t="s">
        <v>116</v>
      </c>
      <c r="G150" s="125">
        <f>G152+G153+G151</f>
        <v>0</v>
      </c>
      <c r="H150" s="110">
        <f>H151+H152</f>
        <v>0</v>
      </c>
      <c r="I150" s="12">
        <f>I151+I152</f>
        <v>0</v>
      </c>
    </row>
    <row r="151" spans="1:19" ht="31.5" x14ac:dyDescent="0.25">
      <c r="A151" s="85">
        <v>2</v>
      </c>
      <c r="B151" s="85">
        <v>6</v>
      </c>
      <c r="C151" s="92">
        <v>4</v>
      </c>
      <c r="D151" s="85"/>
      <c r="E151" s="93"/>
      <c r="F151" s="127" t="s">
        <v>116</v>
      </c>
      <c r="G151" s="100"/>
      <c r="H151" s="109">
        <v>0</v>
      </c>
      <c r="I151" s="13">
        <v>0</v>
      </c>
    </row>
    <row r="152" spans="1:19" ht="15.75" x14ac:dyDescent="0.25">
      <c r="A152" s="85">
        <v>2</v>
      </c>
      <c r="B152" s="85">
        <v>6</v>
      </c>
      <c r="C152" s="92">
        <v>4</v>
      </c>
      <c r="D152" s="85">
        <v>1</v>
      </c>
      <c r="E152" s="85"/>
      <c r="F152" s="127" t="s">
        <v>117</v>
      </c>
      <c r="G152" s="108"/>
      <c r="H152" s="110">
        <v>0</v>
      </c>
      <c r="I152" s="12">
        <v>0</v>
      </c>
    </row>
    <row r="153" spans="1:19" ht="15.75" x14ac:dyDescent="0.25">
      <c r="A153" s="85">
        <v>2</v>
      </c>
      <c r="B153" s="85">
        <v>6</v>
      </c>
      <c r="C153" s="92">
        <v>4</v>
      </c>
      <c r="D153" s="85">
        <v>7</v>
      </c>
      <c r="E153" s="85"/>
      <c r="F153" s="127" t="s">
        <v>118</v>
      </c>
      <c r="G153" s="108">
        <v>0</v>
      </c>
      <c r="H153" s="110">
        <v>0</v>
      </c>
      <c r="I153" s="12">
        <v>0</v>
      </c>
    </row>
    <row r="154" spans="1:19" ht="16.5" thickBot="1" x14ac:dyDescent="0.3">
      <c r="A154" s="85"/>
      <c r="B154" s="85"/>
      <c r="C154" s="92"/>
      <c r="D154" s="84"/>
      <c r="E154" s="85"/>
      <c r="F154" s="127"/>
      <c r="G154" s="111"/>
      <c r="H154" s="117"/>
      <c r="I154" s="12"/>
    </row>
    <row r="155" spans="1:19" ht="18" thickBot="1" x14ac:dyDescent="0.35">
      <c r="A155" s="137"/>
      <c r="B155" s="137"/>
      <c r="C155" s="138"/>
      <c r="D155" s="139"/>
      <c r="E155" s="139"/>
      <c r="F155" s="140" t="s">
        <v>119</v>
      </c>
      <c r="G155" s="95">
        <f>G111+G49+G13</f>
        <v>42039167</v>
      </c>
      <c r="H155" s="165">
        <f>H111+H49+H13</f>
        <v>3087103.98</v>
      </c>
      <c r="I155" s="22" t="e">
        <f>I111+I49+I13+I137</f>
        <v>#REF!</v>
      </c>
      <c r="L155" s="264"/>
      <c r="M155" s="264"/>
      <c r="O155" s="264"/>
      <c r="P155" s="264"/>
    </row>
    <row r="156" spans="1:19" ht="17.25" x14ac:dyDescent="0.3">
      <c r="A156" s="141"/>
      <c r="B156" s="141"/>
      <c r="C156" s="66"/>
      <c r="D156" s="66"/>
      <c r="E156" s="66"/>
      <c r="F156" s="66"/>
      <c r="G156" s="142"/>
      <c r="H156" s="143"/>
      <c r="I156" s="1"/>
      <c r="J156" s="194"/>
      <c r="L156" s="263"/>
      <c r="M156" s="263"/>
      <c r="O156" s="263"/>
      <c r="P156" s="263"/>
      <c r="R156" s="11"/>
    </row>
    <row r="157" spans="1:19" ht="18.75" x14ac:dyDescent="0.3">
      <c r="A157" s="141"/>
      <c r="B157" s="141"/>
      <c r="C157" s="66"/>
      <c r="D157" s="66"/>
      <c r="E157" s="144"/>
      <c r="F157" s="145"/>
      <c r="G157" s="142"/>
      <c r="H157" s="146"/>
      <c r="I157" s="31"/>
      <c r="J157" s="195"/>
    </row>
    <row r="158" spans="1:19" ht="18" x14ac:dyDescent="0.25">
      <c r="A158" s="141"/>
      <c r="B158" s="141"/>
      <c r="C158" s="66"/>
      <c r="D158" s="66"/>
      <c r="E158" s="147"/>
      <c r="F158" s="148"/>
      <c r="G158" s="149"/>
      <c r="H158" s="150"/>
      <c r="I158" s="33"/>
    </row>
    <row r="159" spans="1:19" ht="18.75" thickBot="1" x14ac:dyDescent="0.3">
      <c r="A159" s="64"/>
      <c r="B159" s="64"/>
      <c r="C159" s="64"/>
      <c r="D159" s="64"/>
      <c r="E159" s="64"/>
      <c r="F159" s="148"/>
      <c r="G159" s="151"/>
      <c r="H159" s="151"/>
      <c r="I159" s="35"/>
      <c r="M159" s="17"/>
      <c r="N159" s="17"/>
      <c r="O159" s="36"/>
      <c r="Q159" s="38"/>
      <c r="R159" s="11"/>
    </row>
    <row r="160" spans="1:19" ht="18.75" x14ac:dyDescent="0.3">
      <c r="A160" s="64"/>
      <c r="B160" s="64"/>
      <c r="C160" s="64"/>
      <c r="D160" s="64"/>
      <c r="E160" s="64"/>
      <c r="F160" s="152" t="s">
        <v>120</v>
      </c>
      <c r="G160" s="151"/>
      <c r="H160" s="151"/>
      <c r="I160" s="32"/>
      <c r="J160" s="36"/>
      <c r="K160" s="18"/>
      <c r="L160" s="36"/>
      <c r="M160" s="38"/>
      <c r="S160" s="11"/>
    </row>
    <row r="161" spans="1:22" ht="18.75" x14ac:dyDescent="0.3">
      <c r="A161" s="64"/>
      <c r="B161" s="64"/>
      <c r="C161" s="64"/>
      <c r="D161" s="64"/>
      <c r="E161" s="64"/>
      <c r="F161" s="148" t="s">
        <v>121</v>
      </c>
      <c r="G161" s="153"/>
      <c r="H161" s="151"/>
      <c r="I161" s="32"/>
      <c r="N161" s="11"/>
      <c r="O161" s="41"/>
      <c r="S161" s="11"/>
      <c r="T161" s="11"/>
    </row>
    <row r="162" spans="1:22" ht="18.75" x14ac:dyDescent="0.3">
      <c r="A162" s="64"/>
      <c r="B162" s="64"/>
      <c r="C162" s="64"/>
      <c r="D162" s="64"/>
      <c r="E162" s="64"/>
      <c r="F162" s="148"/>
      <c r="G162" s="153"/>
      <c r="H162" s="151"/>
      <c r="I162" s="32"/>
      <c r="N162" s="11"/>
      <c r="O162" s="41"/>
      <c r="S162" s="11"/>
      <c r="T162" s="11"/>
    </row>
    <row r="163" spans="1:22" ht="18.75" x14ac:dyDescent="0.3">
      <c r="A163" s="64"/>
      <c r="B163" s="64"/>
      <c r="C163" s="64"/>
      <c r="D163" s="64"/>
      <c r="E163" s="64"/>
      <c r="F163" s="148"/>
      <c r="G163" s="151"/>
      <c r="H163" s="151"/>
      <c r="I163" s="32"/>
      <c r="J163" s="41"/>
      <c r="L163" s="41"/>
      <c r="O163" s="42"/>
      <c r="Q163" s="23"/>
      <c r="R163" s="11"/>
      <c r="S163" s="11"/>
      <c r="T163" s="11"/>
    </row>
    <row r="164" spans="1:22" ht="18.75" x14ac:dyDescent="0.3">
      <c r="A164" s="64"/>
      <c r="B164" s="64"/>
      <c r="C164" s="64"/>
      <c r="D164" s="64"/>
      <c r="E164" s="64"/>
      <c r="F164" s="148"/>
      <c r="G164" s="153"/>
      <c r="H164" s="23"/>
      <c r="I164" s="44"/>
      <c r="J164" s="42"/>
      <c r="K164" s="23"/>
      <c r="L164" s="42"/>
      <c r="M164" s="23"/>
      <c r="N164" s="23"/>
      <c r="O164" s="45"/>
      <c r="Q164" s="23"/>
      <c r="T164" s="11"/>
    </row>
    <row r="165" spans="1:22" ht="18.75" x14ac:dyDescent="0.3">
      <c r="A165" s="64"/>
      <c r="B165" s="64"/>
      <c r="C165" s="64"/>
      <c r="D165" s="64"/>
      <c r="E165" s="64"/>
      <c r="F165" s="148"/>
      <c r="G165" s="153"/>
      <c r="H165" s="23"/>
      <c r="I165" s="44"/>
      <c r="J165" s="42"/>
      <c r="K165" s="23"/>
      <c r="L165" s="42"/>
      <c r="M165" s="23"/>
      <c r="N165" s="23"/>
      <c r="O165" s="45"/>
      <c r="Q165" s="23"/>
      <c r="T165" s="11"/>
    </row>
    <row r="166" spans="1:22" ht="18.75" x14ac:dyDescent="0.3">
      <c r="A166" s="64"/>
      <c r="B166" s="64"/>
      <c r="C166" s="64"/>
      <c r="D166" s="64"/>
      <c r="E166" s="64"/>
      <c r="F166" s="148"/>
      <c r="G166" s="153"/>
      <c r="H166" s="23"/>
      <c r="I166" s="44"/>
      <c r="J166" s="42"/>
      <c r="K166" s="23"/>
      <c r="L166" s="42"/>
      <c r="M166" s="23"/>
      <c r="N166" s="23"/>
      <c r="O166" s="45"/>
      <c r="Q166" s="23"/>
      <c r="T166" s="11"/>
    </row>
    <row r="167" spans="1:22" ht="19.5" thickBot="1" x14ac:dyDescent="0.35">
      <c r="A167" s="64"/>
      <c r="B167" s="64"/>
      <c r="C167" s="64"/>
      <c r="D167" s="64"/>
      <c r="E167" s="64"/>
      <c r="F167" s="156"/>
      <c r="G167" s="153"/>
      <c r="H167" s="23"/>
      <c r="I167" s="44"/>
      <c r="J167" s="42"/>
      <c r="K167" s="23"/>
      <c r="L167" s="42"/>
      <c r="M167" s="23"/>
      <c r="N167" s="23"/>
      <c r="O167" s="45"/>
      <c r="Q167" s="23"/>
      <c r="T167" s="11"/>
    </row>
    <row r="168" spans="1:22" ht="18" x14ac:dyDescent="0.25">
      <c r="A168" s="64"/>
      <c r="B168" s="64"/>
      <c r="C168" s="64"/>
      <c r="D168" s="64"/>
      <c r="E168" s="64"/>
      <c r="F168" s="148" t="s">
        <v>122</v>
      </c>
      <c r="G168" s="154"/>
      <c r="H168" s="23"/>
      <c r="I168" s="33"/>
      <c r="J168" s="45"/>
      <c r="K168" s="23"/>
      <c r="L168" s="45"/>
      <c r="M168" s="23"/>
      <c r="N168" s="23"/>
      <c r="O168" s="45"/>
      <c r="Q168" s="23"/>
      <c r="R168" s="11"/>
      <c r="S168" s="11"/>
      <c r="V168" s="11"/>
    </row>
    <row r="169" spans="1:22" ht="18" x14ac:dyDescent="0.25">
      <c r="A169" s="64"/>
      <c r="B169" s="64"/>
      <c r="C169" s="64"/>
      <c r="D169" s="64"/>
      <c r="E169" s="64"/>
      <c r="F169" s="148" t="s">
        <v>123</v>
      </c>
      <c r="G169" s="154"/>
      <c r="H169" s="23"/>
      <c r="I169" s="33"/>
      <c r="J169" s="45"/>
      <c r="K169" s="23"/>
      <c r="L169" s="45"/>
      <c r="M169" s="23"/>
      <c r="N169" s="23"/>
      <c r="O169" s="47"/>
      <c r="Q169" s="23"/>
      <c r="R169" s="11"/>
      <c r="T169" s="11"/>
    </row>
    <row r="170" spans="1:22" ht="18" x14ac:dyDescent="0.25">
      <c r="A170" s="64"/>
      <c r="B170" s="64"/>
      <c r="C170" s="64"/>
      <c r="D170" s="64"/>
      <c r="E170" s="64"/>
      <c r="F170" s="148"/>
      <c r="G170" s="155"/>
      <c r="H170" s="23"/>
      <c r="I170" s="49"/>
      <c r="J170" s="47"/>
      <c r="K170" s="23"/>
      <c r="L170" s="47"/>
      <c r="M170" s="23"/>
      <c r="N170" s="23"/>
      <c r="O170" s="1"/>
      <c r="Q170" s="23"/>
      <c r="V170" s="11"/>
    </row>
    <row r="171" spans="1:22" ht="15.75" x14ac:dyDescent="0.25">
      <c r="A171" s="64"/>
      <c r="B171" s="64"/>
      <c r="C171" s="64"/>
      <c r="D171" s="64"/>
      <c r="E171" s="64"/>
      <c r="F171" s="141"/>
      <c r="G171" s="155"/>
      <c r="H171" s="23"/>
      <c r="I171" s="49"/>
      <c r="J171" s="1"/>
      <c r="K171" s="23"/>
      <c r="M171" s="23"/>
      <c r="N171" s="23"/>
      <c r="O171" s="1"/>
      <c r="P171" s="11"/>
      <c r="Q171" s="23"/>
      <c r="S171" s="11"/>
      <c r="T171" s="11"/>
    </row>
    <row r="172" spans="1:22" ht="15.75" x14ac:dyDescent="0.25">
      <c r="A172" s="64"/>
      <c r="B172" s="64"/>
      <c r="C172" s="64"/>
      <c r="D172" s="64"/>
      <c r="E172" s="64"/>
      <c r="F172" s="141"/>
      <c r="G172" s="155"/>
      <c r="H172" s="23"/>
      <c r="I172" s="49"/>
      <c r="J172" s="1"/>
      <c r="K172" s="23"/>
      <c r="M172" s="23"/>
      <c r="N172" s="23"/>
      <c r="O172" s="11"/>
      <c r="P172" s="11"/>
      <c r="Q172" s="23"/>
      <c r="S172" s="11"/>
    </row>
    <row r="173" spans="1:22" ht="18" x14ac:dyDescent="0.25">
      <c r="A173" s="64"/>
      <c r="B173" s="64"/>
      <c r="C173" s="64"/>
      <c r="D173" s="64"/>
      <c r="E173" s="64"/>
      <c r="F173" s="64"/>
      <c r="G173" s="157"/>
      <c r="H173" s="23"/>
      <c r="I173" s="48"/>
      <c r="J173" s="11"/>
      <c r="K173" s="23"/>
      <c r="L173" s="11"/>
      <c r="M173" s="23"/>
      <c r="N173" s="23"/>
      <c r="O173" s="51"/>
      <c r="Q173" s="52"/>
      <c r="U173" s="11"/>
    </row>
    <row r="174" spans="1:22" ht="18.75" thickBot="1" x14ac:dyDescent="0.3">
      <c r="A174" s="64"/>
      <c r="B174" s="64"/>
      <c r="C174" s="64"/>
      <c r="D174" s="64"/>
      <c r="E174" s="64"/>
      <c r="F174" s="64"/>
      <c r="G174" s="148"/>
      <c r="H174" s="23"/>
      <c r="I174" s="43"/>
      <c r="J174" s="51"/>
      <c r="K174" s="23"/>
      <c r="L174" s="51"/>
      <c r="M174" s="52"/>
      <c r="N174" s="23"/>
      <c r="O174" s="51"/>
      <c r="Q174" s="54"/>
      <c r="R174" s="18"/>
      <c r="S174" s="11"/>
      <c r="T174" s="11"/>
    </row>
    <row r="175" spans="1:22" ht="19.5" thickTop="1" thickBot="1" x14ac:dyDescent="0.3">
      <c r="A175" s="64"/>
      <c r="B175" s="64"/>
      <c r="C175" s="64"/>
      <c r="D175" s="64"/>
      <c r="E175" s="64"/>
      <c r="F175" s="156"/>
      <c r="G175" s="148"/>
      <c r="H175" s="158"/>
      <c r="I175" s="43"/>
      <c r="J175" s="51"/>
      <c r="K175" s="23"/>
      <c r="L175" s="51"/>
      <c r="M175" s="54"/>
      <c r="N175" s="23"/>
      <c r="P175" s="11"/>
      <c r="Q175" s="23"/>
      <c r="R175" s="11"/>
    </row>
    <row r="176" spans="1:22" ht="18" x14ac:dyDescent="0.25">
      <c r="A176" s="64"/>
      <c r="B176" s="64"/>
      <c r="C176" s="64"/>
      <c r="D176" s="159"/>
      <c r="E176" s="64"/>
      <c r="F176" s="148" t="s">
        <v>124</v>
      </c>
      <c r="G176" s="159"/>
      <c r="H176" s="158"/>
      <c r="I176" s="43"/>
      <c r="K176" s="23"/>
      <c r="M176" s="23"/>
      <c r="N176" s="23"/>
      <c r="Q176" s="23"/>
      <c r="S176" s="18"/>
    </row>
    <row r="177" spans="1:22" ht="18" x14ac:dyDescent="0.25">
      <c r="A177" s="64"/>
      <c r="B177" s="64"/>
      <c r="C177" s="64"/>
      <c r="D177" s="64"/>
      <c r="E177" s="64"/>
      <c r="F177" s="148" t="s">
        <v>125</v>
      </c>
      <c r="G177" s="64"/>
      <c r="H177" s="160"/>
      <c r="I177" s="56"/>
      <c r="K177" s="23"/>
      <c r="M177" s="23"/>
      <c r="N177" s="23"/>
      <c r="O177" s="57"/>
      <c r="Q177" s="52"/>
      <c r="R177" s="11"/>
    </row>
    <row r="178" spans="1:22" ht="18" x14ac:dyDescent="0.25">
      <c r="A178" s="64"/>
      <c r="B178" s="64"/>
      <c r="C178" s="64"/>
      <c r="D178" s="64"/>
      <c r="E178" s="64"/>
      <c r="F178" s="148"/>
      <c r="G178" s="64"/>
      <c r="H178" s="160"/>
      <c r="I178" s="56"/>
      <c r="J178" s="57"/>
      <c r="K178" s="23"/>
      <c r="L178" s="57"/>
      <c r="M178" s="52"/>
      <c r="N178" s="23"/>
      <c r="O178" s="42"/>
      <c r="Q178" s="56"/>
    </row>
    <row r="179" spans="1:22" x14ac:dyDescent="0.25">
      <c r="A179" s="64"/>
      <c r="B179" s="64"/>
      <c r="C179" s="64"/>
      <c r="D179" s="64"/>
      <c r="E179" s="64"/>
      <c r="F179" s="64"/>
      <c r="G179" s="64"/>
      <c r="H179" s="160"/>
      <c r="I179" s="56"/>
      <c r="J179" s="42"/>
      <c r="K179" s="23"/>
      <c r="L179" s="42"/>
      <c r="M179" s="56"/>
      <c r="N179" s="23"/>
      <c r="O179" s="58"/>
      <c r="Q179" s="56"/>
      <c r="S179" s="11"/>
    </row>
    <row r="180" spans="1:22" x14ac:dyDescent="0.25">
      <c r="A180" s="64"/>
      <c r="B180" s="64"/>
      <c r="C180" s="64"/>
      <c r="D180" s="64"/>
      <c r="E180" s="64"/>
      <c r="F180" s="64"/>
      <c r="G180" s="64"/>
      <c r="H180" s="160"/>
      <c r="I180" s="23"/>
      <c r="J180" s="58"/>
      <c r="K180" s="23"/>
      <c r="L180" s="58"/>
      <c r="M180" s="56"/>
      <c r="N180" s="23"/>
      <c r="O180" s="58"/>
      <c r="Q180" s="56"/>
      <c r="U180" s="23"/>
    </row>
    <row r="181" spans="1:22" x14ac:dyDescent="0.25">
      <c r="A181" s="64"/>
      <c r="B181" s="64"/>
      <c r="C181" s="64"/>
      <c r="D181" s="64"/>
      <c r="E181" s="64"/>
      <c r="F181" s="64"/>
      <c r="G181" s="64"/>
      <c r="H181" s="160"/>
      <c r="I181" s="23"/>
      <c r="J181" s="58"/>
      <c r="K181" s="23"/>
      <c r="L181" s="58"/>
      <c r="M181" s="56"/>
      <c r="N181" s="23"/>
      <c r="O181" s="45"/>
      <c r="Q181" s="56"/>
      <c r="S181" s="11"/>
      <c r="U181" s="23"/>
    </row>
    <row r="182" spans="1:22" x14ac:dyDescent="0.25">
      <c r="A182" s="64"/>
      <c r="B182" s="64"/>
      <c r="C182" s="64"/>
      <c r="D182" s="64"/>
      <c r="E182" s="64"/>
      <c r="G182" s="64"/>
      <c r="H182" s="160"/>
      <c r="I182" s="23"/>
      <c r="J182" s="45"/>
      <c r="K182" s="23"/>
      <c r="L182" s="45"/>
      <c r="M182" s="56"/>
      <c r="N182" s="23"/>
      <c r="O182" s="45"/>
      <c r="P182" s="11"/>
      <c r="Q182" s="56"/>
      <c r="S182" s="11"/>
      <c r="U182" s="23"/>
    </row>
    <row r="183" spans="1:22" x14ac:dyDescent="0.25">
      <c r="A183" s="64"/>
      <c r="B183" s="64"/>
      <c r="C183" s="64"/>
      <c r="D183" s="64"/>
      <c r="E183" s="64"/>
      <c r="G183" s="64"/>
      <c r="H183" s="65"/>
      <c r="I183" s="23"/>
      <c r="J183" s="45"/>
      <c r="K183" s="23"/>
      <c r="L183" s="45"/>
      <c r="M183" s="56"/>
      <c r="N183" s="23"/>
      <c r="O183" s="45"/>
      <c r="Q183" s="56"/>
      <c r="U183" s="23"/>
    </row>
    <row r="184" spans="1:22" ht="18" x14ac:dyDescent="0.25">
      <c r="A184" s="64"/>
      <c r="B184" s="64"/>
      <c r="C184" s="64"/>
      <c r="D184" s="64"/>
      <c r="E184" s="64"/>
      <c r="F184" s="148"/>
      <c r="G184" s="64"/>
      <c r="H184" s="65"/>
      <c r="I184" s="23"/>
      <c r="J184" s="45"/>
      <c r="K184" s="23"/>
      <c r="L184" s="45"/>
      <c r="M184" s="56"/>
      <c r="N184" s="23"/>
      <c r="O184" s="1"/>
      <c r="Q184" s="56"/>
      <c r="U184" s="23"/>
    </row>
    <row r="185" spans="1:22" x14ac:dyDescent="0.25">
      <c r="A185" s="64"/>
      <c r="B185" s="64"/>
      <c r="C185" s="64"/>
      <c r="D185" s="64"/>
      <c r="E185" s="64"/>
      <c r="F185" s="64"/>
      <c r="G185" s="64"/>
      <c r="H185" s="65"/>
      <c r="I185" s="23"/>
      <c r="J185" s="1"/>
      <c r="K185" s="23"/>
      <c r="L185" s="11"/>
      <c r="M185" s="56"/>
      <c r="N185" s="23"/>
      <c r="O185" s="58"/>
      <c r="Q185" s="56"/>
      <c r="S185" s="11"/>
      <c r="U185" s="11"/>
      <c r="V185" s="11"/>
    </row>
    <row r="186" spans="1:22" x14ac:dyDescent="0.25">
      <c r="A186" s="64"/>
      <c r="B186" s="64"/>
      <c r="C186" s="64"/>
      <c r="D186" s="64"/>
      <c r="E186" s="64"/>
      <c r="F186" s="64"/>
      <c r="G186" s="64"/>
      <c r="H186" s="65"/>
      <c r="I186" s="23"/>
      <c r="J186" s="58"/>
      <c r="K186" s="23"/>
      <c r="L186" s="58"/>
      <c r="M186" s="56"/>
      <c r="N186" s="23"/>
      <c r="O186" s="58"/>
      <c r="Q186" s="56"/>
      <c r="S186" s="23"/>
    </row>
    <row r="187" spans="1:22" x14ac:dyDescent="0.25">
      <c r="A187" s="64"/>
      <c r="B187" s="64"/>
      <c r="C187" s="64"/>
      <c r="D187" s="64"/>
      <c r="E187" s="64"/>
      <c r="F187" s="64"/>
      <c r="G187" s="64"/>
      <c r="H187" s="65"/>
      <c r="I187" s="23"/>
      <c r="J187" s="58"/>
      <c r="K187" s="23"/>
      <c r="L187" s="58"/>
      <c r="M187" s="56"/>
      <c r="N187" s="23"/>
      <c r="Q187" s="56"/>
      <c r="U187" s="11"/>
    </row>
    <row r="188" spans="1:22" x14ac:dyDescent="0.25">
      <c r="I188" s="23"/>
      <c r="K188" s="23"/>
      <c r="M188" s="56"/>
      <c r="N188" s="23"/>
      <c r="O188" s="51"/>
      <c r="Q188" s="59"/>
    </row>
    <row r="189" spans="1:22" x14ac:dyDescent="0.25">
      <c r="I189" s="23"/>
      <c r="J189" s="51"/>
      <c r="K189" s="23"/>
      <c r="L189" s="51"/>
      <c r="M189" s="59"/>
      <c r="N189" s="23"/>
      <c r="O189" s="51"/>
      <c r="Q189" s="60"/>
    </row>
    <row r="190" spans="1:22" ht="15.75" thickBot="1" x14ac:dyDescent="0.3">
      <c r="I190" s="23"/>
      <c r="J190" s="51"/>
      <c r="K190" s="23"/>
      <c r="L190" s="51"/>
      <c r="M190" s="60"/>
      <c r="N190" s="23"/>
      <c r="O190" s="58"/>
      <c r="Q190" s="61"/>
      <c r="S190" s="11"/>
    </row>
    <row r="191" spans="1:22" ht="15.75" thickBot="1" x14ac:dyDescent="0.3">
      <c r="I191" s="23"/>
      <c r="J191" s="58"/>
      <c r="K191" s="23"/>
      <c r="L191" s="58"/>
      <c r="M191" s="61"/>
      <c r="N191" s="23"/>
      <c r="O191" s="62"/>
      <c r="Q191" s="63"/>
      <c r="R191" s="23"/>
      <c r="S191" s="11"/>
    </row>
    <row r="192" spans="1:22" ht="15.75" thickBot="1" x14ac:dyDescent="0.3">
      <c r="I192" s="23"/>
      <c r="J192" s="62"/>
      <c r="K192" s="23"/>
      <c r="L192" s="62"/>
      <c r="M192" s="63"/>
      <c r="N192" s="23"/>
      <c r="O192" s="11"/>
      <c r="Q192" s="23"/>
    </row>
    <row r="193" spans="9:17" ht="15.75" thickTop="1" x14ac:dyDescent="0.25">
      <c r="I193" s="23"/>
      <c r="J193" s="11"/>
      <c r="K193" s="23"/>
      <c r="L193" s="11"/>
      <c r="M193" s="23"/>
      <c r="N193" s="23"/>
      <c r="Q193" s="23"/>
    </row>
    <row r="194" spans="9:17" x14ac:dyDescent="0.25">
      <c r="I194" s="23"/>
      <c r="K194" s="23"/>
      <c r="M194" s="23"/>
      <c r="N194" s="23"/>
    </row>
    <row r="195" spans="9:17" x14ac:dyDescent="0.25">
      <c r="I195" s="23"/>
      <c r="K195" s="23"/>
      <c r="M195" s="23"/>
      <c r="N195" s="23"/>
    </row>
    <row r="196" spans="9:17" x14ac:dyDescent="0.25">
      <c r="I196" s="23"/>
      <c r="K196" s="23"/>
      <c r="M196" s="23"/>
      <c r="N196" s="23"/>
    </row>
    <row r="197" spans="9:17" x14ac:dyDescent="0.25">
      <c r="I197" s="23"/>
      <c r="J197" s="23"/>
      <c r="K197" s="23"/>
      <c r="M197" s="23"/>
      <c r="N197" s="23"/>
    </row>
    <row r="198" spans="9:17" x14ac:dyDescent="0.25">
      <c r="I198" s="23"/>
      <c r="J198" s="23"/>
      <c r="K198" s="23"/>
      <c r="M198" s="23"/>
      <c r="N198" s="23"/>
    </row>
    <row r="199" spans="9:17" x14ac:dyDescent="0.25">
      <c r="I199" s="23"/>
      <c r="J199" s="23"/>
      <c r="K199" s="23"/>
      <c r="M199" s="23"/>
      <c r="N199" s="23"/>
    </row>
    <row r="200" spans="9:17" x14ac:dyDescent="0.25">
      <c r="I200" s="23"/>
      <c r="J200" s="23"/>
      <c r="M200" s="11"/>
      <c r="N200" s="23"/>
    </row>
    <row r="201" spans="9:17" x14ac:dyDescent="0.25">
      <c r="I201" s="23"/>
      <c r="J201" s="23"/>
      <c r="M201" s="11"/>
      <c r="N201" s="23"/>
    </row>
    <row r="202" spans="9:17" x14ac:dyDescent="0.25">
      <c r="I202" s="23"/>
      <c r="J202" s="23"/>
      <c r="M202" s="11"/>
    </row>
    <row r="203" spans="9:17" x14ac:dyDescent="0.25">
      <c r="I203" s="23"/>
      <c r="J203" s="23"/>
    </row>
    <row r="204" spans="9:17" x14ac:dyDescent="0.25">
      <c r="I204" s="23"/>
      <c r="J204" s="23"/>
    </row>
    <row r="205" spans="9:17" x14ac:dyDescent="0.25">
      <c r="I205" s="23"/>
      <c r="J205" s="23"/>
    </row>
    <row r="206" spans="9:17" x14ac:dyDescent="0.25">
      <c r="I206" s="23"/>
      <c r="J206" s="23"/>
    </row>
    <row r="207" spans="9:17" x14ac:dyDescent="0.25">
      <c r="I207" s="23"/>
      <c r="J207" s="23"/>
    </row>
    <row r="208" spans="9:17" x14ac:dyDescent="0.25">
      <c r="I208" s="23"/>
      <c r="J208" s="23"/>
    </row>
    <row r="209" spans="9:10" x14ac:dyDescent="0.25">
      <c r="I209" s="23"/>
      <c r="J209" s="23"/>
    </row>
    <row r="210" spans="9:10" x14ac:dyDescent="0.25">
      <c r="I210" s="23"/>
      <c r="J210" s="23"/>
    </row>
    <row r="211" spans="9:10" x14ac:dyDescent="0.25">
      <c r="I211" s="23"/>
      <c r="J211" s="23"/>
    </row>
    <row r="212" spans="9:10" x14ac:dyDescent="0.25">
      <c r="I212" s="23"/>
      <c r="J212" s="23"/>
    </row>
    <row r="213" spans="9:10" x14ac:dyDescent="0.25">
      <c r="I213" s="23"/>
      <c r="J213" s="23"/>
    </row>
    <row r="214" spans="9:10" x14ac:dyDescent="0.25">
      <c r="I214" s="23"/>
      <c r="J214" s="23"/>
    </row>
    <row r="215" spans="9:10" x14ac:dyDescent="0.25">
      <c r="I215" s="23"/>
      <c r="J215" s="23"/>
    </row>
    <row r="216" spans="9:10" x14ac:dyDescent="0.25">
      <c r="I216" s="23"/>
      <c r="J216" s="23"/>
    </row>
    <row r="217" spans="9:10" x14ac:dyDescent="0.25">
      <c r="I217" s="23"/>
      <c r="J217" s="23"/>
    </row>
    <row r="218" spans="9:10" x14ac:dyDescent="0.25">
      <c r="I218" s="23"/>
      <c r="J218" s="23"/>
    </row>
    <row r="219" spans="9:10" x14ac:dyDescent="0.25">
      <c r="I219" s="23"/>
      <c r="J219" s="23"/>
    </row>
    <row r="220" spans="9:10" x14ac:dyDescent="0.25">
      <c r="I220" s="23"/>
      <c r="J220" s="23"/>
    </row>
    <row r="221" spans="9:10" x14ac:dyDescent="0.25">
      <c r="I221" s="23"/>
      <c r="J221" s="23"/>
    </row>
    <row r="222" spans="9:10" x14ac:dyDescent="0.25">
      <c r="I222" s="23"/>
      <c r="J222" s="23"/>
    </row>
    <row r="223" spans="9:10" x14ac:dyDescent="0.25">
      <c r="I223" s="23"/>
      <c r="J223" s="23"/>
    </row>
    <row r="224" spans="9:10" x14ac:dyDescent="0.25">
      <c r="I224" s="23"/>
      <c r="J224" s="23"/>
    </row>
    <row r="225" spans="9:10" x14ac:dyDescent="0.25">
      <c r="I225" s="23"/>
      <c r="J225" s="23"/>
    </row>
    <row r="226" spans="9:10" x14ac:dyDescent="0.25">
      <c r="I226" s="23"/>
      <c r="J226" s="23"/>
    </row>
    <row r="227" spans="9:10" x14ac:dyDescent="0.25">
      <c r="I227" s="23"/>
      <c r="J227" s="23"/>
    </row>
    <row r="228" spans="9:10" x14ac:dyDescent="0.25">
      <c r="I228" s="23"/>
      <c r="J228" s="23"/>
    </row>
    <row r="229" spans="9:10" x14ac:dyDescent="0.25">
      <c r="I229" s="23"/>
      <c r="J229" s="23"/>
    </row>
    <row r="230" spans="9:10" x14ac:dyDescent="0.25">
      <c r="I230" s="23"/>
      <c r="J230" s="23"/>
    </row>
    <row r="231" spans="9:10" x14ac:dyDescent="0.25">
      <c r="I231" s="23"/>
    </row>
    <row r="232" spans="9:10" x14ac:dyDescent="0.25">
      <c r="I232" s="23"/>
    </row>
    <row r="233" spans="9:10" x14ac:dyDescent="0.25">
      <c r="I233" s="23"/>
    </row>
    <row r="234" spans="9:10" x14ac:dyDescent="0.25">
      <c r="I234" s="23"/>
    </row>
    <row r="235" spans="9:10" x14ac:dyDescent="0.25">
      <c r="I235" s="23"/>
    </row>
    <row r="236" spans="9:10" x14ac:dyDescent="0.25">
      <c r="I236" s="23"/>
    </row>
    <row r="237" spans="9:10" x14ac:dyDescent="0.25">
      <c r="I237" s="23"/>
    </row>
    <row r="238" spans="9:10" x14ac:dyDescent="0.25">
      <c r="I238" s="23"/>
    </row>
    <row r="239" spans="9:10" x14ac:dyDescent="0.25">
      <c r="I239" s="23"/>
    </row>
    <row r="240" spans="9:10" x14ac:dyDescent="0.25">
      <c r="I240" s="23"/>
    </row>
    <row r="241" spans="9:9" x14ac:dyDescent="0.25">
      <c r="I241" s="23"/>
    </row>
    <row r="242" spans="9:9" x14ac:dyDescent="0.25">
      <c r="I242" s="23"/>
    </row>
    <row r="243" spans="9:9" x14ac:dyDescent="0.25">
      <c r="I243" s="23"/>
    </row>
    <row r="244" spans="9:9" x14ac:dyDescent="0.25">
      <c r="I244" s="23"/>
    </row>
    <row r="245" spans="9:9" x14ac:dyDescent="0.25">
      <c r="I245" s="23"/>
    </row>
    <row r="246" spans="9:9" x14ac:dyDescent="0.25">
      <c r="I246" s="23"/>
    </row>
    <row r="247" spans="9:9" x14ac:dyDescent="0.25">
      <c r="I247" s="23"/>
    </row>
    <row r="248" spans="9:9" x14ac:dyDescent="0.25">
      <c r="I248" s="23"/>
    </row>
    <row r="249" spans="9:9" x14ac:dyDescent="0.25">
      <c r="I249" s="23"/>
    </row>
    <row r="250" spans="9:9" x14ac:dyDescent="0.25">
      <c r="I250" s="23"/>
    </row>
    <row r="251" spans="9:9" x14ac:dyDescent="0.25">
      <c r="I251" s="23"/>
    </row>
    <row r="252" spans="9:9" x14ac:dyDescent="0.25">
      <c r="I252" s="23"/>
    </row>
    <row r="253" spans="9:9" x14ac:dyDescent="0.25">
      <c r="I253" s="23"/>
    </row>
    <row r="254" spans="9:9" x14ac:dyDescent="0.25">
      <c r="I254" s="23"/>
    </row>
    <row r="255" spans="9:9" x14ac:dyDescent="0.25">
      <c r="I255" s="23"/>
    </row>
  </sheetData>
  <mergeCells count="8">
    <mergeCell ref="L156:M156"/>
    <mergeCell ref="O156:P156"/>
    <mergeCell ref="O155:P155"/>
    <mergeCell ref="A5:H5"/>
    <mergeCell ref="A6:H6"/>
    <mergeCell ref="A7:H7"/>
    <mergeCell ref="A9:E9"/>
    <mergeCell ref="L155:M155"/>
  </mergeCells>
  <pageMargins left="1.299212598425197" right="0.9055118110236221" top="0" bottom="0.15748031496062992" header="0" footer="0"/>
  <pageSetup paperSize="5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5"/>
  <sheetViews>
    <sheetView topLeftCell="E162" workbookViewId="0">
      <selection activeCell="J172" sqref="J172"/>
    </sheetView>
  </sheetViews>
  <sheetFormatPr baseColWidth="10" defaultColWidth="11.42578125" defaultRowHeight="15" x14ac:dyDescent="0.2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4" style="27" customWidth="1"/>
    <col min="9" max="9" width="23.42578125" hidden="1" customWidth="1"/>
    <col min="10" max="10" width="15.7109375" customWidth="1"/>
    <col min="11" max="11" width="14.42578125" customWidth="1"/>
    <col min="12" max="12" width="38.140625" customWidth="1"/>
    <col min="13" max="13" width="13.85546875" bestFit="1" customWidth="1"/>
    <col min="14" max="14" width="36.7109375" customWidth="1"/>
    <col min="15" max="15" width="14.140625" bestFit="1" customWidth="1"/>
    <col min="16" max="16" width="87.140625" customWidth="1"/>
    <col min="17" max="17" width="37.5703125" customWidth="1"/>
    <col min="18" max="18" width="19.42578125" customWidth="1"/>
    <col min="19" max="19" width="66.42578125" customWidth="1"/>
    <col min="20" max="20" width="28.5703125" customWidth="1"/>
    <col min="21" max="21" width="19.140625" customWidth="1"/>
    <col min="22" max="23" width="14.140625" bestFit="1" customWidth="1"/>
    <col min="24" max="24" width="19.7109375" customWidth="1"/>
    <col min="26" max="26" width="13.140625" bestFit="1" customWidth="1"/>
    <col min="230" max="230" width="4.85546875" bestFit="1" customWidth="1"/>
    <col min="231" max="231" width="5.85546875" bestFit="1" customWidth="1"/>
    <col min="232" max="232" width="7.42578125" bestFit="1" customWidth="1"/>
    <col min="233" max="233" width="8.140625" bestFit="1" customWidth="1"/>
    <col min="234" max="234" width="4.5703125" bestFit="1" customWidth="1"/>
    <col min="235" max="235" width="57.5703125" customWidth="1"/>
    <col min="236" max="236" width="14.28515625" customWidth="1"/>
    <col min="237" max="237" width="0.85546875" customWidth="1"/>
    <col min="238" max="238" width="16.5703125" bestFit="1" customWidth="1"/>
    <col min="239" max="239" width="13.42578125" bestFit="1" customWidth="1"/>
    <col min="486" max="486" width="4.85546875" bestFit="1" customWidth="1"/>
    <col min="487" max="487" width="5.85546875" bestFit="1" customWidth="1"/>
    <col min="488" max="488" width="7.42578125" bestFit="1" customWidth="1"/>
    <col min="489" max="489" width="8.140625" bestFit="1" customWidth="1"/>
    <col min="490" max="490" width="4.5703125" bestFit="1" customWidth="1"/>
    <col min="491" max="491" width="57.5703125" customWidth="1"/>
    <col min="492" max="492" width="14.28515625" customWidth="1"/>
    <col min="493" max="493" width="0.85546875" customWidth="1"/>
    <col min="494" max="494" width="16.5703125" bestFit="1" customWidth="1"/>
    <col min="495" max="495" width="13.42578125" bestFit="1" customWidth="1"/>
    <col min="742" max="742" width="4.85546875" bestFit="1" customWidth="1"/>
    <col min="743" max="743" width="5.85546875" bestFit="1" customWidth="1"/>
    <col min="744" max="744" width="7.42578125" bestFit="1" customWidth="1"/>
    <col min="745" max="745" width="8.140625" bestFit="1" customWidth="1"/>
    <col min="746" max="746" width="4.5703125" bestFit="1" customWidth="1"/>
    <col min="747" max="747" width="57.5703125" customWidth="1"/>
    <col min="748" max="748" width="14.28515625" customWidth="1"/>
    <col min="749" max="749" width="0.85546875" customWidth="1"/>
    <col min="750" max="750" width="16.5703125" bestFit="1" customWidth="1"/>
    <col min="751" max="751" width="13.42578125" bestFit="1" customWidth="1"/>
    <col min="998" max="998" width="4.85546875" bestFit="1" customWidth="1"/>
    <col min="999" max="999" width="5.85546875" bestFit="1" customWidth="1"/>
    <col min="1000" max="1000" width="7.42578125" bestFit="1" customWidth="1"/>
    <col min="1001" max="1001" width="8.140625" bestFit="1" customWidth="1"/>
    <col min="1002" max="1002" width="4.5703125" bestFit="1" customWidth="1"/>
    <col min="1003" max="1003" width="57.5703125" customWidth="1"/>
    <col min="1004" max="1004" width="14.28515625" customWidth="1"/>
    <col min="1005" max="1005" width="0.85546875" customWidth="1"/>
    <col min="1006" max="1006" width="16.5703125" bestFit="1" customWidth="1"/>
    <col min="1007" max="1007" width="13.42578125" bestFit="1" customWidth="1"/>
    <col min="1254" max="1254" width="4.85546875" bestFit="1" customWidth="1"/>
    <col min="1255" max="1255" width="5.85546875" bestFit="1" customWidth="1"/>
    <col min="1256" max="1256" width="7.42578125" bestFit="1" customWidth="1"/>
    <col min="1257" max="1257" width="8.140625" bestFit="1" customWidth="1"/>
    <col min="1258" max="1258" width="4.5703125" bestFit="1" customWidth="1"/>
    <col min="1259" max="1259" width="57.5703125" customWidth="1"/>
    <col min="1260" max="1260" width="14.28515625" customWidth="1"/>
    <col min="1261" max="1261" width="0.85546875" customWidth="1"/>
    <col min="1262" max="1262" width="16.5703125" bestFit="1" customWidth="1"/>
    <col min="1263" max="1263" width="13.42578125" bestFit="1" customWidth="1"/>
    <col min="1510" max="1510" width="4.85546875" bestFit="1" customWidth="1"/>
    <col min="1511" max="1511" width="5.85546875" bestFit="1" customWidth="1"/>
    <col min="1512" max="1512" width="7.42578125" bestFit="1" customWidth="1"/>
    <col min="1513" max="1513" width="8.140625" bestFit="1" customWidth="1"/>
    <col min="1514" max="1514" width="4.5703125" bestFit="1" customWidth="1"/>
    <col min="1515" max="1515" width="57.5703125" customWidth="1"/>
    <col min="1516" max="1516" width="14.28515625" customWidth="1"/>
    <col min="1517" max="1517" width="0.85546875" customWidth="1"/>
    <col min="1518" max="1518" width="16.5703125" bestFit="1" customWidth="1"/>
    <col min="1519" max="1519" width="13.42578125" bestFit="1" customWidth="1"/>
    <col min="1766" max="1766" width="4.85546875" bestFit="1" customWidth="1"/>
    <col min="1767" max="1767" width="5.85546875" bestFit="1" customWidth="1"/>
    <col min="1768" max="1768" width="7.42578125" bestFit="1" customWidth="1"/>
    <col min="1769" max="1769" width="8.140625" bestFit="1" customWidth="1"/>
    <col min="1770" max="1770" width="4.5703125" bestFit="1" customWidth="1"/>
    <col min="1771" max="1771" width="57.5703125" customWidth="1"/>
    <col min="1772" max="1772" width="14.28515625" customWidth="1"/>
    <col min="1773" max="1773" width="0.85546875" customWidth="1"/>
    <col min="1774" max="1774" width="16.5703125" bestFit="1" customWidth="1"/>
    <col min="1775" max="1775" width="13.42578125" bestFit="1" customWidth="1"/>
    <col min="2022" max="2022" width="4.85546875" bestFit="1" customWidth="1"/>
    <col min="2023" max="2023" width="5.85546875" bestFit="1" customWidth="1"/>
    <col min="2024" max="2024" width="7.42578125" bestFit="1" customWidth="1"/>
    <col min="2025" max="2025" width="8.140625" bestFit="1" customWidth="1"/>
    <col min="2026" max="2026" width="4.5703125" bestFit="1" customWidth="1"/>
    <col min="2027" max="2027" width="57.5703125" customWidth="1"/>
    <col min="2028" max="2028" width="14.28515625" customWidth="1"/>
    <col min="2029" max="2029" width="0.85546875" customWidth="1"/>
    <col min="2030" max="2030" width="16.5703125" bestFit="1" customWidth="1"/>
    <col min="2031" max="2031" width="13.42578125" bestFit="1" customWidth="1"/>
    <col min="2278" max="2278" width="4.85546875" bestFit="1" customWidth="1"/>
    <col min="2279" max="2279" width="5.85546875" bestFit="1" customWidth="1"/>
    <col min="2280" max="2280" width="7.42578125" bestFit="1" customWidth="1"/>
    <col min="2281" max="2281" width="8.140625" bestFit="1" customWidth="1"/>
    <col min="2282" max="2282" width="4.5703125" bestFit="1" customWidth="1"/>
    <col min="2283" max="2283" width="57.5703125" customWidth="1"/>
    <col min="2284" max="2284" width="14.28515625" customWidth="1"/>
    <col min="2285" max="2285" width="0.85546875" customWidth="1"/>
    <col min="2286" max="2286" width="16.5703125" bestFit="1" customWidth="1"/>
    <col min="2287" max="2287" width="13.42578125" bestFit="1" customWidth="1"/>
    <col min="2534" max="2534" width="4.85546875" bestFit="1" customWidth="1"/>
    <col min="2535" max="2535" width="5.85546875" bestFit="1" customWidth="1"/>
    <col min="2536" max="2536" width="7.42578125" bestFit="1" customWidth="1"/>
    <col min="2537" max="2537" width="8.140625" bestFit="1" customWidth="1"/>
    <col min="2538" max="2538" width="4.5703125" bestFit="1" customWidth="1"/>
    <col min="2539" max="2539" width="57.5703125" customWidth="1"/>
    <col min="2540" max="2540" width="14.28515625" customWidth="1"/>
    <col min="2541" max="2541" width="0.85546875" customWidth="1"/>
    <col min="2542" max="2542" width="16.5703125" bestFit="1" customWidth="1"/>
    <col min="2543" max="2543" width="13.42578125" bestFit="1" customWidth="1"/>
    <col min="2790" max="2790" width="4.85546875" bestFit="1" customWidth="1"/>
    <col min="2791" max="2791" width="5.85546875" bestFit="1" customWidth="1"/>
    <col min="2792" max="2792" width="7.42578125" bestFit="1" customWidth="1"/>
    <col min="2793" max="2793" width="8.140625" bestFit="1" customWidth="1"/>
    <col min="2794" max="2794" width="4.5703125" bestFit="1" customWidth="1"/>
    <col min="2795" max="2795" width="57.5703125" customWidth="1"/>
    <col min="2796" max="2796" width="14.28515625" customWidth="1"/>
    <col min="2797" max="2797" width="0.85546875" customWidth="1"/>
    <col min="2798" max="2798" width="16.5703125" bestFit="1" customWidth="1"/>
    <col min="2799" max="2799" width="13.42578125" bestFit="1" customWidth="1"/>
    <col min="3046" max="3046" width="4.85546875" bestFit="1" customWidth="1"/>
    <col min="3047" max="3047" width="5.85546875" bestFit="1" customWidth="1"/>
    <col min="3048" max="3048" width="7.42578125" bestFit="1" customWidth="1"/>
    <col min="3049" max="3049" width="8.140625" bestFit="1" customWidth="1"/>
    <col min="3050" max="3050" width="4.5703125" bestFit="1" customWidth="1"/>
    <col min="3051" max="3051" width="57.5703125" customWidth="1"/>
    <col min="3052" max="3052" width="14.28515625" customWidth="1"/>
    <col min="3053" max="3053" width="0.85546875" customWidth="1"/>
    <col min="3054" max="3054" width="16.5703125" bestFit="1" customWidth="1"/>
    <col min="3055" max="3055" width="13.42578125" bestFit="1" customWidth="1"/>
    <col min="3302" max="3302" width="4.85546875" bestFit="1" customWidth="1"/>
    <col min="3303" max="3303" width="5.85546875" bestFit="1" customWidth="1"/>
    <col min="3304" max="3304" width="7.42578125" bestFit="1" customWidth="1"/>
    <col min="3305" max="3305" width="8.140625" bestFit="1" customWidth="1"/>
    <col min="3306" max="3306" width="4.5703125" bestFit="1" customWidth="1"/>
    <col min="3307" max="3307" width="57.5703125" customWidth="1"/>
    <col min="3308" max="3308" width="14.28515625" customWidth="1"/>
    <col min="3309" max="3309" width="0.85546875" customWidth="1"/>
    <col min="3310" max="3310" width="16.5703125" bestFit="1" customWidth="1"/>
    <col min="3311" max="3311" width="13.42578125" bestFit="1" customWidth="1"/>
    <col min="3558" max="3558" width="4.85546875" bestFit="1" customWidth="1"/>
    <col min="3559" max="3559" width="5.85546875" bestFit="1" customWidth="1"/>
    <col min="3560" max="3560" width="7.42578125" bestFit="1" customWidth="1"/>
    <col min="3561" max="3561" width="8.140625" bestFit="1" customWidth="1"/>
    <col min="3562" max="3562" width="4.5703125" bestFit="1" customWidth="1"/>
    <col min="3563" max="3563" width="57.5703125" customWidth="1"/>
    <col min="3564" max="3564" width="14.28515625" customWidth="1"/>
    <col min="3565" max="3565" width="0.85546875" customWidth="1"/>
    <col min="3566" max="3566" width="16.5703125" bestFit="1" customWidth="1"/>
    <col min="3567" max="3567" width="13.42578125" bestFit="1" customWidth="1"/>
    <col min="3814" max="3814" width="4.85546875" bestFit="1" customWidth="1"/>
    <col min="3815" max="3815" width="5.85546875" bestFit="1" customWidth="1"/>
    <col min="3816" max="3816" width="7.42578125" bestFit="1" customWidth="1"/>
    <col min="3817" max="3817" width="8.140625" bestFit="1" customWidth="1"/>
    <col min="3818" max="3818" width="4.5703125" bestFit="1" customWidth="1"/>
    <col min="3819" max="3819" width="57.5703125" customWidth="1"/>
    <col min="3820" max="3820" width="14.28515625" customWidth="1"/>
    <col min="3821" max="3821" width="0.85546875" customWidth="1"/>
    <col min="3822" max="3822" width="16.5703125" bestFit="1" customWidth="1"/>
    <col min="3823" max="3823" width="13.42578125" bestFit="1" customWidth="1"/>
    <col min="4070" max="4070" width="4.85546875" bestFit="1" customWidth="1"/>
    <col min="4071" max="4071" width="5.85546875" bestFit="1" customWidth="1"/>
    <col min="4072" max="4072" width="7.42578125" bestFit="1" customWidth="1"/>
    <col min="4073" max="4073" width="8.140625" bestFit="1" customWidth="1"/>
    <col min="4074" max="4074" width="4.5703125" bestFit="1" customWidth="1"/>
    <col min="4075" max="4075" width="57.5703125" customWidth="1"/>
    <col min="4076" max="4076" width="14.28515625" customWidth="1"/>
    <col min="4077" max="4077" width="0.85546875" customWidth="1"/>
    <col min="4078" max="4078" width="16.5703125" bestFit="1" customWidth="1"/>
    <col min="4079" max="4079" width="13.42578125" bestFit="1" customWidth="1"/>
    <col min="4326" max="4326" width="4.85546875" bestFit="1" customWidth="1"/>
    <col min="4327" max="4327" width="5.85546875" bestFit="1" customWidth="1"/>
    <col min="4328" max="4328" width="7.42578125" bestFit="1" customWidth="1"/>
    <col min="4329" max="4329" width="8.140625" bestFit="1" customWidth="1"/>
    <col min="4330" max="4330" width="4.5703125" bestFit="1" customWidth="1"/>
    <col min="4331" max="4331" width="57.5703125" customWidth="1"/>
    <col min="4332" max="4332" width="14.28515625" customWidth="1"/>
    <col min="4333" max="4333" width="0.85546875" customWidth="1"/>
    <col min="4334" max="4334" width="16.5703125" bestFit="1" customWidth="1"/>
    <col min="4335" max="4335" width="13.42578125" bestFit="1" customWidth="1"/>
    <col min="4582" max="4582" width="4.85546875" bestFit="1" customWidth="1"/>
    <col min="4583" max="4583" width="5.85546875" bestFit="1" customWidth="1"/>
    <col min="4584" max="4584" width="7.42578125" bestFit="1" customWidth="1"/>
    <col min="4585" max="4585" width="8.140625" bestFit="1" customWidth="1"/>
    <col min="4586" max="4586" width="4.5703125" bestFit="1" customWidth="1"/>
    <col min="4587" max="4587" width="57.5703125" customWidth="1"/>
    <col min="4588" max="4588" width="14.28515625" customWidth="1"/>
    <col min="4589" max="4589" width="0.85546875" customWidth="1"/>
    <col min="4590" max="4590" width="16.5703125" bestFit="1" customWidth="1"/>
    <col min="4591" max="4591" width="13.42578125" bestFit="1" customWidth="1"/>
    <col min="4838" max="4838" width="4.85546875" bestFit="1" customWidth="1"/>
    <col min="4839" max="4839" width="5.85546875" bestFit="1" customWidth="1"/>
    <col min="4840" max="4840" width="7.42578125" bestFit="1" customWidth="1"/>
    <col min="4841" max="4841" width="8.140625" bestFit="1" customWidth="1"/>
    <col min="4842" max="4842" width="4.5703125" bestFit="1" customWidth="1"/>
    <col min="4843" max="4843" width="57.5703125" customWidth="1"/>
    <col min="4844" max="4844" width="14.28515625" customWidth="1"/>
    <col min="4845" max="4845" width="0.85546875" customWidth="1"/>
    <col min="4846" max="4846" width="16.5703125" bestFit="1" customWidth="1"/>
    <col min="4847" max="4847" width="13.42578125" bestFit="1" customWidth="1"/>
    <col min="5094" max="5094" width="4.85546875" bestFit="1" customWidth="1"/>
    <col min="5095" max="5095" width="5.85546875" bestFit="1" customWidth="1"/>
    <col min="5096" max="5096" width="7.42578125" bestFit="1" customWidth="1"/>
    <col min="5097" max="5097" width="8.140625" bestFit="1" customWidth="1"/>
    <col min="5098" max="5098" width="4.5703125" bestFit="1" customWidth="1"/>
    <col min="5099" max="5099" width="57.5703125" customWidth="1"/>
    <col min="5100" max="5100" width="14.28515625" customWidth="1"/>
    <col min="5101" max="5101" width="0.85546875" customWidth="1"/>
    <col min="5102" max="5102" width="16.5703125" bestFit="1" customWidth="1"/>
    <col min="5103" max="5103" width="13.42578125" bestFit="1" customWidth="1"/>
    <col min="5350" max="5350" width="4.85546875" bestFit="1" customWidth="1"/>
    <col min="5351" max="5351" width="5.85546875" bestFit="1" customWidth="1"/>
    <col min="5352" max="5352" width="7.42578125" bestFit="1" customWidth="1"/>
    <col min="5353" max="5353" width="8.140625" bestFit="1" customWidth="1"/>
    <col min="5354" max="5354" width="4.5703125" bestFit="1" customWidth="1"/>
    <col min="5355" max="5355" width="57.5703125" customWidth="1"/>
    <col min="5356" max="5356" width="14.28515625" customWidth="1"/>
    <col min="5357" max="5357" width="0.85546875" customWidth="1"/>
    <col min="5358" max="5358" width="16.5703125" bestFit="1" customWidth="1"/>
    <col min="5359" max="5359" width="13.42578125" bestFit="1" customWidth="1"/>
    <col min="5606" max="5606" width="4.85546875" bestFit="1" customWidth="1"/>
    <col min="5607" max="5607" width="5.85546875" bestFit="1" customWidth="1"/>
    <col min="5608" max="5608" width="7.42578125" bestFit="1" customWidth="1"/>
    <col min="5609" max="5609" width="8.140625" bestFit="1" customWidth="1"/>
    <col min="5610" max="5610" width="4.5703125" bestFit="1" customWidth="1"/>
    <col min="5611" max="5611" width="57.5703125" customWidth="1"/>
    <col min="5612" max="5612" width="14.28515625" customWidth="1"/>
    <col min="5613" max="5613" width="0.85546875" customWidth="1"/>
    <col min="5614" max="5614" width="16.5703125" bestFit="1" customWidth="1"/>
    <col min="5615" max="5615" width="13.42578125" bestFit="1" customWidth="1"/>
    <col min="5862" max="5862" width="4.85546875" bestFit="1" customWidth="1"/>
    <col min="5863" max="5863" width="5.85546875" bestFit="1" customWidth="1"/>
    <col min="5864" max="5864" width="7.42578125" bestFit="1" customWidth="1"/>
    <col min="5865" max="5865" width="8.140625" bestFit="1" customWidth="1"/>
    <col min="5866" max="5866" width="4.5703125" bestFit="1" customWidth="1"/>
    <col min="5867" max="5867" width="57.5703125" customWidth="1"/>
    <col min="5868" max="5868" width="14.28515625" customWidth="1"/>
    <col min="5869" max="5869" width="0.85546875" customWidth="1"/>
    <col min="5870" max="5870" width="16.5703125" bestFit="1" customWidth="1"/>
    <col min="5871" max="5871" width="13.42578125" bestFit="1" customWidth="1"/>
    <col min="6118" max="6118" width="4.85546875" bestFit="1" customWidth="1"/>
    <col min="6119" max="6119" width="5.85546875" bestFit="1" customWidth="1"/>
    <col min="6120" max="6120" width="7.42578125" bestFit="1" customWidth="1"/>
    <col min="6121" max="6121" width="8.140625" bestFit="1" customWidth="1"/>
    <col min="6122" max="6122" width="4.5703125" bestFit="1" customWidth="1"/>
    <col min="6123" max="6123" width="57.5703125" customWidth="1"/>
    <col min="6124" max="6124" width="14.28515625" customWidth="1"/>
    <col min="6125" max="6125" width="0.85546875" customWidth="1"/>
    <col min="6126" max="6126" width="16.5703125" bestFit="1" customWidth="1"/>
    <col min="6127" max="6127" width="13.42578125" bestFit="1" customWidth="1"/>
    <col min="6374" max="6374" width="4.85546875" bestFit="1" customWidth="1"/>
    <col min="6375" max="6375" width="5.85546875" bestFit="1" customWidth="1"/>
    <col min="6376" max="6376" width="7.42578125" bestFit="1" customWidth="1"/>
    <col min="6377" max="6377" width="8.140625" bestFit="1" customWidth="1"/>
    <col min="6378" max="6378" width="4.5703125" bestFit="1" customWidth="1"/>
    <col min="6379" max="6379" width="57.5703125" customWidth="1"/>
    <col min="6380" max="6380" width="14.28515625" customWidth="1"/>
    <col min="6381" max="6381" width="0.85546875" customWidth="1"/>
    <col min="6382" max="6382" width="16.5703125" bestFit="1" customWidth="1"/>
    <col min="6383" max="6383" width="13.42578125" bestFit="1" customWidth="1"/>
    <col min="6630" max="6630" width="4.85546875" bestFit="1" customWidth="1"/>
    <col min="6631" max="6631" width="5.85546875" bestFit="1" customWidth="1"/>
    <col min="6632" max="6632" width="7.42578125" bestFit="1" customWidth="1"/>
    <col min="6633" max="6633" width="8.140625" bestFit="1" customWidth="1"/>
    <col min="6634" max="6634" width="4.5703125" bestFit="1" customWidth="1"/>
    <col min="6635" max="6635" width="57.5703125" customWidth="1"/>
    <col min="6636" max="6636" width="14.28515625" customWidth="1"/>
    <col min="6637" max="6637" width="0.85546875" customWidth="1"/>
    <col min="6638" max="6638" width="16.5703125" bestFit="1" customWidth="1"/>
    <col min="6639" max="6639" width="13.42578125" bestFit="1" customWidth="1"/>
    <col min="6886" max="6886" width="4.85546875" bestFit="1" customWidth="1"/>
    <col min="6887" max="6887" width="5.85546875" bestFit="1" customWidth="1"/>
    <col min="6888" max="6888" width="7.42578125" bestFit="1" customWidth="1"/>
    <col min="6889" max="6889" width="8.140625" bestFit="1" customWidth="1"/>
    <col min="6890" max="6890" width="4.5703125" bestFit="1" customWidth="1"/>
    <col min="6891" max="6891" width="57.5703125" customWidth="1"/>
    <col min="6892" max="6892" width="14.28515625" customWidth="1"/>
    <col min="6893" max="6893" width="0.85546875" customWidth="1"/>
    <col min="6894" max="6894" width="16.5703125" bestFit="1" customWidth="1"/>
    <col min="6895" max="6895" width="13.42578125" bestFit="1" customWidth="1"/>
    <col min="7142" max="7142" width="4.85546875" bestFit="1" customWidth="1"/>
    <col min="7143" max="7143" width="5.85546875" bestFit="1" customWidth="1"/>
    <col min="7144" max="7144" width="7.42578125" bestFit="1" customWidth="1"/>
    <col min="7145" max="7145" width="8.140625" bestFit="1" customWidth="1"/>
    <col min="7146" max="7146" width="4.5703125" bestFit="1" customWidth="1"/>
    <col min="7147" max="7147" width="57.5703125" customWidth="1"/>
    <col min="7148" max="7148" width="14.28515625" customWidth="1"/>
    <col min="7149" max="7149" width="0.85546875" customWidth="1"/>
    <col min="7150" max="7150" width="16.5703125" bestFit="1" customWidth="1"/>
    <col min="7151" max="7151" width="13.42578125" bestFit="1" customWidth="1"/>
    <col min="7398" max="7398" width="4.85546875" bestFit="1" customWidth="1"/>
    <col min="7399" max="7399" width="5.85546875" bestFit="1" customWidth="1"/>
    <col min="7400" max="7400" width="7.42578125" bestFit="1" customWidth="1"/>
    <col min="7401" max="7401" width="8.140625" bestFit="1" customWidth="1"/>
    <col min="7402" max="7402" width="4.5703125" bestFit="1" customWidth="1"/>
    <col min="7403" max="7403" width="57.5703125" customWidth="1"/>
    <col min="7404" max="7404" width="14.28515625" customWidth="1"/>
    <col min="7405" max="7405" width="0.85546875" customWidth="1"/>
    <col min="7406" max="7406" width="16.5703125" bestFit="1" customWidth="1"/>
    <col min="7407" max="7407" width="13.42578125" bestFit="1" customWidth="1"/>
    <col min="7654" max="7654" width="4.85546875" bestFit="1" customWidth="1"/>
    <col min="7655" max="7655" width="5.85546875" bestFit="1" customWidth="1"/>
    <col min="7656" max="7656" width="7.42578125" bestFit="1" customWidth="1"/>
    <col min="7657" max="7657" width="8.140625" bestFit="1" customWidth="1"/>
    <col min="7658" max="7658" width="4.5703125" bestFit="1" customWidth="1"/>
    <col min="7659" max="7659" width="57.5703125" customWidth="1"/>
    <col min="7660" max="7660" width="14.28515625" customWidth="1"/>
    <col min="7661" max="7661" width="0.85546875" customWidth="1"/>
    <col min="7662" max="7662" width="16.5703125" bestFit="1" customWidth="1"/>
    <col min="7663" max="7663" width="13.42578125" bestFit="1" customWidth="1"/>
    <col min="7910" max="7910" width="4.85546875" bestFit="1" customWidth="1"/>
    <col min="7911" max="7911" width="5.85546875" bestFit="1" customWidth="1"/>
    <col min="7912" max="7912" width="7.42578125" bestFit="1" customWidth="1"/>
    <col min="7913" max="7913" width="8.140625" bestFit="1" customWidth="1"/>
    <col min="7914" max="7914" width="4.5703125" bestFit="1" customWidth="1"/>
    <col min="7915" max="7915" width="57.5703125" customWidth="1"/>
    <col min="7916" max="7916" width="14.28515625" customWidth="1"/>
    <col min="7917" max="7917" width="0.85546875" customWidth="1"/>
    <col min="7918" max="7918" width="16.5703125" bestFit="1" customWidth="1"/>
    <col min="7919" max="7919" width="13.42578125" bestFit="1" customWidth="1"/>
    <col min="8166" max="8166" width="4.85546875" bestFit="1" customWidth="1"/>
    <col min="8167" max="8167" width="5.85546875" bestFit="1" customWidth="1"/>
    <col min="8168" max="8168" width="7.42578125" bestFit="1" customWidth="1"/>
    <col min="8169" max="8169" width="8.140625" bestFit="1" customWidth="1"/>
    <col min="8170" max="8170" width="4.5703125" bestFit="1" customWidth="1"/>
    <col min="8171" max="8171" width="57.5703125" customWidth="1"/>
    <col min="8172" max="8172" width="14.28515625" customWidth="1"/>
    <col min="8173" max="8173" width="0.85546875" customWidth="1"/>
    <col min="8174" max="8174" width="16.5703125" bestFit="1" customWidth="1"/>
    <col min="8175" max="8175" width="13.42578125" bestFit="1" customWidth="1"/>
    <col min="8422" max="8422" width="4.85546875" bestFit="1" customWidth="1"/>
    <col min="8423" max="8423" width="5.85546875" bestFit="1" customWidth="1"/>
    <col min="8424" max="8424" width="7.42578125" bestFit="1" customWidth="1"/>
    <col min="8425" max="8425" width="8.140625" bestFit="1" customWidth="1"/>
    <col min="8426" max="8426" width="4.5703125" bestFit="1" customWidth="1"/>
    <col min="8427" max="8427" width="57.5703125" customWidth="1"/>
    <col min="8428" max="8428" width="14.28515625" customWidth="1"/>
    <col min="8429" max="8429" width="0.85546875" customWidth="1"/>
    <col min="8430" max="8430" width="16.5703125" bestFit="1" customWidth="1"/>
    <col min="8431" max="8431" width="13.42578125" bestFit="1" customWidth="1"/>
    <col min="8678" max="8678" width="4.85546875" bestFit="1" customWidth="1"/>
    <col min="8679" max="8679" width="5.85546875" bestFit="1" customWidth="1"/>
    <col min="8680" max="8680" width="7.42578125" bestFit="1" customWidth="1"/>
    <col min="8681" max="8681" width="8.140625" bestFit="1" customWidth="1"/>
    <col min="8682" max="8682" width="4.5703125" bestFit="1" customWidth="1"/>
    <col min="8683" max="8683" width="57.5703125" customWidth="1"/>
    <col min="8684" max="8684" width="14.28515625" customWidth="1"/>
    <col min="8685" max="8685" width="0.85546875" customWidth="1"/>
    <col min="8686" max="8686" width="16.5703125" bestFit="1" customWidth="1"/>
    <col min="8687" max="8687" width="13.42578125" bestFit="1" customWidth="1"/>
    <col min="8934" max="8934" width="4.85546875" bestFit="1" customWidth="1"/>
    <col min="8935" max="8935" width="5.85546875" bestFit="1" customWidth="1"/>
    <col min="8936" max="8936" width="7.42578125" bestFit="1" customWidth="1"/>
    <col min="8937" max="8937" width="8.140625" bestFit="1" customWidth="1"/>
    <col min="8938" max="8938" width="4.5703125" bestFit="1" customWidth="1"/>
    <col min="8939" max="8939" width="57.5703125" customWidth="1"/>
    <col min="8940" max="8940" width="14.28515625" customWidth="1"/>
    <col min="8941" max="8941" width="0.85546875" customWidth="1"/>
    <col min="8942" max="8942" width="16.5703125" bestFit="1" customWidth="1"/>
    <col min="8943" max="8943" width="13.42578125" bestFit="1" customWidth="1"/>
    <col min="9190" max="9190" width="4.85546875" bestFit="1" customWidth="1"/>
    <col min="9191" max="9191" width="5.85546875" bestFit="1" customWidth="1"/>
    <col min="9192" max="9192" width="7.42578125" bestFit="1" customWidth="1"/>
    <col min="9193" max="9193" width="8.140625" bestFit="1" customWidth="1"/>
    <col min="9194" max="9194" width="4.5703125" bestFit="1" customWidth="1"/>
    <col min="9195" max="9195" width="57.5703125" customWidth="1"/>
    <col min="9196" max="9196" width="14.28515625" customWidth="1"/>
    <col min="9197" max="9197" width="0.85546875" customWidth="1"/>
    <col min="9198" max="9198" width="16.5703125" bestFit="1" customWidth="1"/>
    <col min="9199" max="9199" width="13.42578125" bestFit="1" customWidth="1"/>
    <col min="9446" max="9446" width="4.85546875" bestFit="1" customWidth="1"/>
    <col min="9447" max="9447" width="5.85546875" bestFit="1" customWidth="1"/>
    <col min="9448" max="9448" width="7.42578125" bestFit="1" customWidth="1"/>
    <col min="9449" max="9449" width="8.140625" bestFit="1" customWidth="1"/>
    <col min="9450" max="9450" width="4.5703125" bestFit="1" customWidth="1"/>
    <col min="9451" max="9451" width="57.5703125" customWidth="1"/>
    <col min="9452" max="9452" width="14.28515625" customWidth="1"/>
    <col min="9453" max="9453" width="0.85546875" customWidth="1"/>
    <col min="9454" max="9454" width="16.5703125" bestFit="1" customWidth="1"/>
    <col min="9455" max="9455" width="13.42578125" bestFit="1" customWidth="1"/>
    <col min="9702" max="9702" width="4.85546875" bestFit="1" customWidth="1"/>
    <col min="9703" max="9703" width="5.85546875" bestFit="1" customWidth="1"/>
    <col min="9704" max="9704" width="7.42578125" bestFit="1" customWidth="1"/>
    <col min="9705" max="9705" width="8.140625" bestFit="1" customWidth="1"/>
    <col min="9706" max="9706" width="4.5703125" bestFit="1" customWidth="1"/>
    <col min="9707" max="9707" width="57.5703125" customWidth="1"/>
    <col min="9708" max="9708" width="14.28515625" customWidth="1"/>
    <col min="9709" max="9709" width="0.85546875" customWidth="1"/>
    <col min="9710" max="9710" width="16.5703125" bestFit="1" customWidth="1"/>
    <col min="9711" max="9711" width="13.42578125" bestFit="1" customWidth="1"/>
    <col min="9958" max="9958" width="4.85546875" bestFit="1" customWidth="1"/>
    <col min="9959" max="9959" width="5.85546875" bestFit="1" customWidth="1"/>
    <col min="9960" max="9960" width="7.42578125" bestFit="1" customWidth="1"/>
    <col min="9961" max="9961" width="8.140625" bestFit="1" customWidth="1"/>
    <col min="9962" max="9962" width="4.5703125" bestFit="1" customWidth="1"/>
    <col min="9963" max="9963" width="57.5703125" customWidth="1"/>
    <col min="9964" max="9964" width="14.28515625" customWidth="1"/>
    <col min="9965" max="9965" width="0.85546875" customWidth="1"/>
    <col min="9966" max="9966" width="16.5703125" bestFit="1" customWidth="1"/>
    <col min="9967" max="9967" width="13.42578125" bestFit="1" customWidth="1"/>
    <col min="10214" max="10214" width="4.85546875" bestFit="1" customWidth="1"/>
    <col min="10215" max="10215" width="5.85546875" bestFit="1" customWidth="1"/>
    <col min="10216" max="10216" width="7.42578125" bestFit="1" customWidth="1"/>
    <col min="10217" max="10217" width="8.140625" bestFit="1" customWidth="1"/>
    <col min="10218" max="10218" width="4.5703125" bestFit="1" customWidth="1"/>
    <col min="10219" max="10219" width="57.5703125" customWidth="1"/>
    <col min="10220" max="10220" width="14.28515625" customWidth="1"/>
    <col min="10221" max="10221" width="0.85546875" customWidth="1"/>
    <col min="10222" max="10222" width="16.5703125" bestFit="1" customWidth="1"/>
    <col min="10223" max="10223" width="13.42578125" bestFit="1" customWidth="1"/>
    <col min="10470" max="10470" width="4.85546875" bestFit="1" customWidth="1"/>
    <col min="10471" max="10471" width="5.85546875" bestFit="1" customWidth="1"/>
    <col min="10472" max="10472" width="7.42578125" bestFit="1" customWidth="1"/>
    <col min="10473" max="10473" width="8.140625" bestFit="1" customWidth="1"/>
    <col min="10474" max="10474" width="4.5703125" bestFit="1" customWidth="1"/>
    <col min="10475" max="10475" width="57.5703125" customWidth="1"/>
    <col min="10476" max="10476" width="14.28515625" customWidth="1"/>
    <col min="10477" max="10477" width="0.85546875" customWidth="1"/>
    <col min="10478" max="10478" width="16.5703125" bestFit="1" customWidth="1"/>
    <col min="10479" max="10479" width="13.42578125" bestFit="1" customWidth="1"/>
    <col min="10726" max="10726" width="4.85546875" bestFit="1" customWidth="1"/>
    <col min="10727" max="10727" width="5.85546875" bestFit="1" customWidth="1"/>
    <col min="10728" max="10728" width="7.42578125" bestFit="1" customWidth="1"/>
    <col min="10729" max="10729" width="8.140625" bestFit="1" customWidth="1"/>
    <col min="10730" max="10730" width="4.5703125" bestFit="1" customWidth="1"/>
    <col min="10731" max="10731" width="57.5703125" customWidth="1"/>
    <col min="10732" max="10732" width="14.28515625" customWidth="1"/>
    <col min="10733" max="10733" width="0.85546875" customWidth="1"/>
    <col min="10734" max="10734" width="16.5703125" bestFit="1" customWidth="1"/>
    <col min="10735" max="10735" width="13.42578125" bestFit="1" customWidth="1"/>
    <col min="10982" max="10982" width="4.85546875" bestFit="1" customWidth="1"/>
    <col min="10983" max="10983" width="5.85546875" bestFit="1" customWidth="1"/>
    <col min="10984" max="10984" width="7.42578125" bestFit="1" customWidth="1"/>
    <col min="10985" max="10985" width="8.140625" bestFit="1" customWidth="1"/>
    <col min="10986" max="10986" width="4.5703125" bestFit="1" customWidth="1"/>
    <col min="10987" max="10987" width="57.5703125" customWidth="1"/>
    <col min="10988" max="10988" width="14.28515625" customWidth="1"/>
    <col min="10989" max="10989" width="0.85546875" customWidth="1"/>
    <col min="10990" max="10990" width="16.5703125" bestFit="1" customWidth="1"/>
    <col min="10991" max="10991" width="13.42578125" bestFit="1" customWidth="1"/>
    <col min="11238" max="11238" width="4.85546875" bestFit="1" customWidth="1"/>
    <col min="11239" max="11239" width="5.85546875" bestFit="1" customWidth="1"/>
    <col min="11240" max="11240" width="7.42578125" bestFit="1" customWidth="1"/>
    <col min="11241" max="11241" width="8.140625" bestFit="1" customWidth="1"/>
    <col min="11242" max="11242" width="4.5703125" bestFit="1" customWidth="1"/>
    <col min="11243" max="11243" width="57.5703125" customWidth="1"/>
    <col min="11244" max="11244" width="14.28515625" customWidth="1"/>
    <col min="11245" max="11245" width="0.85546875" customWidth="1"/>
    <col min="11246" max="11246" width="16.5703125" bestFit="1" customWidth="1"/>
    <col min="11247" max="11247" width="13.42578125" bestFit="1" customWidth="1"/>
    <col min="11494" max="11494" width="4.85546875" bestFit="1" customWidth="1"/>
    <col min="11495" max="11495" width="5.85546875" bestFit="1" customWidth="1"/>
    <col min="11496" max="11496" width="7.42578125" bestFit="1" customWidth="1"/>
    <col min="11497" max="11497" width="8.140625" bestFit="1" customWidth="1"/>
    <col min="11498" max="11498" width="4.5703125" bestFit="1" customWidth="1"/>
    <col min="11499" max="11499" width="57.5703125" customWidth="1"/>
    <col min="11500" max="11500" width="14.28515625" customWidth="1"/>
    <col min="11501" max="11501" width="0.85546875" customWidth="1"/>
    <col min="11502" max="11502" width="16.5703125" bestFit="1" customWidth="1"/>
    <col min="11503" max="11503" width="13.42578125" bestFit="1" customWidth="1"/>
    <col min="11750" max="11750" width="4.85546875" bestFit="1" customWidth="1"/>
    <col min="11751" max="11751" width="5.85546875" bestFit="1" customWidth="1"/>
    <col min="11752" max="11752" width="7.42578125" bestFit="1" customWidth="1"/>
    <col min="11753" max="11753" width="8.140625" bestFit="1" customWidth="1"/>
    <col min="11754" max="11754" width="4.5703125" bestFit="1" customWidth="1"/>
    <col min="11755" max="11755" width="57.5703125" customWidth="1"/>
    <col min="11756" max="11756" width="14.28515625" customWidth="1"/>
    <col min="11757" max="11757" width="0.85546875" customWidth="1"/>
    <col min="11758" max="11758" width="16.5703125" bestFit="1" customWidth="1"/>
    <col min="11759" max="11759" width="13.42578125" bestFit="1" customWidth="1"/>
    <col min="12006" max="12006" width="4.85546875" bestFit="1" customWidth="1"/>
    <col min="12007" max="12007" width="5.85546875" bestFit="1" customWidth="1"/>
    <col min="12008" max="12008" width="7.42578125" bestFit="1" customWidth="1"/>
    <col min="12009" max="12009" width="8.140625" bestFit="1" customWidth="1"/>
    <col min="12010" max="12010" width="4.5703125" bestFit="1" customWidth="1"/>
    <col min="12011" max="12011" width="57.5703125" customWidth="1"/>
    <col min="12012" max="12012" width="14.28515625" customWidth="1"/>
    <col min="12013" max="12013" width="0.85546875" customWidth="1"/>
    <col min="12014" max="12014" width="16.5703125" bestFit="1" customWidth="1"/>
    <col min="12015" max="12015" width="13.42578125" bestFit="1" customWidth="1"/>
    <col min="12262" max="12262" width="4.85546875" bestFit="1" customWidth="1"/>
    <col min="12263" max="12263" width="5.85546875" bestFit="1" customWidth="1"/>
    <col min="12264" max="12264" width="7.42578125" bestFit="1" customWidth="1"/>
    <col min="12265" max="12265" width="8.140625" bestFit="1" customWidth="1"/>
    <col min="12266" max="12266" width="4.5703125" bestFit="1" customWidth="1"/>
    <col min="12267" max="12267" width="57.5703125" customWidth="1"/>
    <col min="12268" max="12268" width="14.28515625" customWidth="1"/>
    <col min="12269" max="12269" width="0.85546875" customWidth="1"/>
    <col min="12270" max="12270" width="16.5703125" bestFit="1" customWidth="1"/>
    <col min="12271" max="12271" width="13.42578125" bestFit="1" customWidth="1"/>
    <col min="12518" max="12518" width="4.85546875" bestFit="1" customWidth="1"/>
    <col min="12519" max="12519" width="5.85546875" bestFit="1" customWidth="1"/>
    <col min="12520" max="12520" width="7.42578125" bestFit="1" customWidth="1"/>
    <col min="12521" max="12521" width="8.140625" bestFit="1" customWidth="1"/>
    <col min="12522" max="12522" width="4.5703125" bestFit="1" customWidth="1"/>
    <col min="12523" max="12523" width="57.5703125" customWidth="1"/>
    <col min="12524" max="12524" width="14.28515625" customWidth="1"/>
    <col min="12525" max="12525" width="0.85546875" customWidth="1"/>
    <col min="12526" max="12526" width="16.5703125" bestFit="1" customWidth="1"/>
    <col min="12527" max="12527" width="13.42578125" bestFit="1" customWidth="1"/>
    <col min="12774" max="12774" width="4.85546875" bestFit="1" customWidth="1"/>
    <col min="12775" max="12775" width="5.85546875" bestFit="1" customWidth="1"/>
    <col min="12776" max="12776" width="7.42578125" bestFit="1" customWidth="1"/>
    <col min="12777" max="12777" width="8.140625" bestFit="1" customWidth="1"/>
    <col min="12778" max="12778" width="4.5703125" bestFit="1" customWidth="1"/>
    <col min="12779" max="12779" width="57.5703125" customWidth="1"/>
    <col min="12780" max="12780" width="14.28515625" customWidth="1"/>
    <col min="12781" max="12781" width="0.85546875" customWidth="1"/>
    <col min="12782" max="12782" width="16.5703125" bestFit="1" customWidth="1"/>
    <col min="12783" max="12783" width="13.42578125" bestFit="1" customWidth="1"/>
    <col min="13030" max="13030" width="4.85546875" bestFit="1" customWidth="1"/>
    <col min="13031" max="13031" width="5.85546875" bestFit="1" customWidth="1"/>
    <col min="13032" max="13032" width="7.42578125" bestFit="1" customWidth="1"/>
    <col min="13033" max="13033" width="8.140625" bestFit="1" customWidth="1"/>
    <col min="13034" max="13034" width="4.5703125" bestFit="1" customWidth="1"/>
    <col min="13035" max="13035" width="57.5703125" customWidth="1"/>
    <col min="13036" max="13036" width="14.28515625" customWidth="1"/>
    <col min="13037" max="13037" width="0.85546875" customWidth="1"/>
    <col min="13038" max="13038" width="16.5703125" bestFit="1" customWidth="1"/>
    <col min="13039" max="13039" width="13.42578125" bestFit="1" customWidth="1"/>
    <col min="13286" max="13286" width="4.85546875" bestFit="1" customWidth="1"/>
    <col min="13287" max="13287" width="5.85546875" bestFit="1" customWidth="1"/>
    <col min="13288" max="13288" width="7.42578125" bestFit="1" customWidth="1"/>
    <col min="13289" max="13289" width="8.140625" bestFit="1" customWidth="1"/>
    <col min="13290" max="13290" width="4.5703125" bestFit="1" customWidth="1"/>
    <col min="13291" max="13291" width="57.5703125" customWidth="1"/>
    <col min="13292" max="13292" width="14.28515625" customWidth="1"/>
    <col min="13293" max="13293" width="0.85546875" customWidth="1"/>
    <col min="13294" max="13294" width="16.5703125" bestFit="1" customWidth="1"/>
    <col min="13295" max="13295" width="13.42578125" bestFit="1" customWidth="1"/>
    <col min="13542" max="13542" width="4.85546875" bestFit="1" customWidth="1"/>
    <col min="13543" max="13543" width="5.85546875" bestFit="1" customWidth="1"/>
    <col min="13544" max="13544" width="7.42578125" bestFit="1" customWidth="1"/>
    <col min="13545" max="13545" width="8.140625" bestFit="1" customWidth="1"/>
    <col min="13546" max="13546" width="4.5703125" bestFit="1" customWidth="1"/>
    <col min="13547" max="13547" width="57.5703125" customWidth="1"/>
    <col min="13548" max="13548" width="14.28515625" customWidth="1"/>
    <col min="13549" max="13549" width="0.85546875" customWidth="1"/>
    <col min="13550" max="13550" width="16.5703125" bestFit="1" customWidth="1"/>
    <col min="13551" max="13551" width="13.42578125" bestFit="1" customWidth="1"/>
    <col min="13798" max="13798" width="4.85546875" bestFit="1" customWidth="1"/>
    <col min="13799" max="13799" width="5.85546875" bestFit="1" customWidth="1"/>
    <col min="13800" max="13800" width="7.42578125" bestFit="1" customWidth="1"/>
    <col min="13801" max="13801" width="8.140625" bestFit="1" customWidth="1"/>
    <col min="13802" max="13802" width="4.5703125" bestFit="1" customWidth="1"/>
    <col min="13803" max="13803" width="57.5703125" customWidth="1"/>
    <col min="13804" max="13804" width="14.28515625" customWidth="1"/>
    <col min="13805" max="13805" width="0.85546875" customWidth="1"/>
    <col min="13806" max="13806" width="16.5703125" bestFit="1" customWidth="1"/>
    <col min="13807" max="13807" width="13.42578125" bestFit="1" customWidth="1"/>
    <col min="14054" max="14054" width="4.85546875" bestFit="1" customWidth="1"/>
    <col min="14055" max="14055" width="5.85546875" bestFit="1" customWidth="1"/>
    <col min="14056" max="14056" width="7.42578125" bestFit="1" customWidth="1"/>
    <col min="14057" max="14057" width="8.140625" bestFit="1" customWidth="1"/>
    <col min="14058" max="14058" width="4.5703125" bestFit="1" customWidth="1"/>
    <col min="14059" max="14059" width="57.5703125" customWidth="1"/>
    <col min="14060" max="14060" width="14.28515625" customWidth="1"/>
    <col min="14061" max="14061" width="0.85546875" customWidth="1"/>
    <col min="14062" max="14062" width="16.5703125" bestFit="1" customWidth="1"/>
    <col min="14063" max="14063" width="13.42578125" bestFit="1" customWidth="1"/>
    <col min="14310" max="14310" width="4.85546875" bestFit="1" customWidth="1"/>
    <col min="14311" max="14311" width="5.85546875" bestFit="1" customWidth="1"/>
    <col min="14312" max="14312" width="7.42578125" bestFit="1" customWidth="1"/>
    <col min="14313" max="14313" width="8.140625" bestFit="1" customWidth="1"/>
    <col min="14314" max="14314" width="4.5703125" bestFit="1" customWidth="1"/>
    <col min="14315" max="14315" width="57.5703125" customWidth="1"/>
    <col min="14316" max="14316" width="14.28515625" customWidth="1"/>
    <col min="14317" max="14317" width="0.85546875" customWidth="1"/>
    <col min="14318" max="14318" width="16.5703125" bestFit="1" customWidth="1"/>
    <col min="14319" max="14319" width="13.42578125" bestFit="1" customWidth="1"/>
    <col min="14566" max="14566" width="4.85546875" bestFit="1" customWidth="1"/>
    <col min="14567" max="14567" width="5.85546875" bestFit="1" customWidth="1"/>
    <col min="14568" max="14568" width="7.42578125" bestFit="1" customWidth="1"/>
    <col min="14569" max="14569" width="8.140625" bestFit="1" customWidth="1"/>
    <col min="14570" max="14570" width="4.5703125" bestFit="1" customWidth="1"/>
    <col min="14571" max="14571" width="57.5703125" customWidth="1"/>
    <col min="14572" max="14572" width="14.28515625" customWidth="1"/>
    <col min="14573" max="14573" width="0.85546875" customWidth="1"/>
    <col min="14574" max="14574" width="16.5703125" bestFit="1" customWidth="1"/>
    <col min="14575" max="14575" width="13.42578125" bestFit="1" customWidth="1"/>
    <col min="14822" max="14822" width="4.85546875" bestFit="1" customWidth="1"/>
    <col min="14823" max="14823" width="5.85546875" bestFit="1" customWidth="1"/>
    <col min="14824" max="14824" width="7.42578125" bestFit="1" customWidth="1"/>
    <col min="14825" max="14825" width="8.140625" bestFit="1" customWidth="1"/>
    <col min="14826" max="14826" width="4.5703125" bestFit="1" customWidth="1"/>
    <col min="14827" max="14827" width="57.5703125" customWidth="1"/>
    <col min="14828" max="14828" width="14.28515625" customWidth="1"/>
    <col min="14829" max="14829" width="0.85546875" customWidth="1"/>
    <col min="14830" max="14830" width="16.5703125" bestFit="1" customWidth="1"/>
    <col min="14831" max="14831" width="13.42578125" bestFit="1" customWidth="1"/>
    <col min="15078" max="15078" width="4.85546875" bestFit="1" customWidth="1"/>
    <col min="15079" max="15079" width="5.85546875" bestFit="1" customWidth="1"/>
    <col min="15080" max="15080" width="7.42578125" bestFit="1" customWidth="1"/>
    <col min="15081" max="15081" width="8.140625" bestFit="1" customWidth="1"/>
    <col min="15082" max="15082" width="4.5703125" bestFit="1" customWidth="1"/>
    <col min="15083" max="15083" width="57.5703125" customWidth="1"/>
    <col min="15084" max="15084" width="14.28515625" customWidth="1"/>
    <col min="15085" max="15085" width="0.85546875" customWidth="1"/>
    <col min="15086" max="15086" width="16.5703125" bestFit="1" customWidth="1"/>
    <col min="15087" max="15087" width="13.42578125" bestFit="1" customWidth="1"/>
    <col min="15334" max="15334" width="4.85546875" bestFit="1" customWidth="1"/>
    <col min="15335" max="15335" width="5.85546875" bestFit="1" customWidth="1"/>
    <col min="15336" max="15336" width="7.42578125" bestFit="1" customWidth="1"/>
    <col min="15337" max="15337" width="8.140625" bestFit="1" customWidth="1"/>
    <col min="15338" max="15338" width="4.5703125" bestFit="1" customWidth="1"/>
    <col min="15339" max="15339" width="57.5703125" customWidth="1"/>
    <col min="15340" max="15340" width="14.28515625" customWidth="1"/>
    <col min="15341" max="15341" width="0.85546875" customWidth="1"/>
    <col min="15342" max="15342" width="16.5703125" bestFit="1" customWidth="1"/>
    <col min="15343" max="15343" width="13.42578125" bestFit="1" customWidth="1"/>
    <col min="15590" max="15590" width="4.85546875" bestFit="1" customWidth="1"/>
    <col min="15591" max="15591" width="5.85546875" bestFit="1" customWidth="1"/>
    <col min="15592" max="15592" width="7.42578125" bestFit="1" customWidth="1"/>
    <col min="15593" max="15593" width="8.140625" bestFit="1" customWidth="1"/>
    <col min="15594" max="15594" width="4.5703125" bestFit="1" customWidth="1"/>
    <col min="15595" max="15595" width="57.5703125" customWidth="1"/>
    <col min="15596" max="15596" width="14.28515625" customWidth="1"/>
    <col min="15597" max="15597" width="0.85546875" customWidth="1"/>
    <col min="15598" max="15598" width="16.5703125" bestFit="1" customWidth="1"/>
    <col min="15599" max="15599" width="13.42578125" bestFit="1" customWidth="1"/>
    <col min="15846" max="15846" width="4.85546875" bestFit="1" customWidth="1"/>
    <col min="15847" max="15847" width="5.85546875" bestFit="1" customWidth="1"/>
    <col min="15848" max="15848" width="7.42578125" bestFit="1" customWidth="1"/>
    <col min="15849" max="15849" width="8.140625" bestFit="1" customWidth="1"/>
    <col min="15850" max="15850" width="4.5703125" bestFit="1" customWidth="1"/>
    <col min="15851" max="15851" width="57.5703125" customWidth="1"/>
    <col min="15852" max="15852" width="14.28515625" customWidth="1"/>
    <col min="15853" max="15853" width="0.85546875" customWidth="1"/>
    <col min="15854" max="15854" width="16.5703125" bestFit="1" customWidth="1"/>
    <col min="15855" max="15855" width="13.42578125" bestFit="1" customWidth="1"/>
    <col min="16102" max="16102" width="4.85546875" bestFit="1" customWidth="1"/>
    <col min="16103" max="16103" width="5.85546875" bestFit="1" customWidth="1"/>
    <col min="16104" max="16104" width="7.42578125" bestFit="1" customWidth="1"/>
    <col min="16105" max="16105" width="8.140625" bestFit="1" customWidth="1"/>
    <col min="16106" max="16106" width="4.5703125" bestFit="1" customWidth="1"/>
    <col min="16107" max="16107" width="57.5703125" customWidth="1"/>
    <col min="16108" max="16108" width="14.28515625" customWidth="1"/>
    <col min="16109" max="16109" width="0.85546875" customWidth="1"/>
    <col min="16110" max="16110" width="16.5703125" bestFit="1" customWidth="1"/>
    <col min="16111" max="16111" width="13.42578125" bestFit="1" customWidth="1"/>
  </cols>
  <sheetData>
    <row r="1" spans="1:11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11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11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11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11" ht="20.25" x14ac:dyDescent="0.3">
      <c r="A5" s="265" t="str">
        <f>'[1]Estado de flujo de Efectivo'!A1:B1</f>
        <v>Consejo Económico y Social -CES-</v>
      </c>
      <c r="B5" s="265"/>
      <c r="C5" s="265"/>
      <c r="D5" s="265"/>
      <c r="E5" s="265"/>
      <c r="F5" s="265"/>
      <c r="G5" s="265"/>
      <c r="H5" s="265"/>
      <c r="I5" s="1"/>
    </row>
    <row r="6" spans="1:11" ht="20.25" x14ac:dyDescent="0.3">
      <c r="A6" s="265" t="s">
        <v>131</v>
      </c>
      <c r="B6" s="265"/>
      <c r="C6" s="265"/>
      <c r="D6" s="265"/>
      <c r="E6" s="265"/>
      <c r="F6" s="265"/>
      <c r="G6" s="265"/>
      <c r="H6" s="265"/>
      <c r="I6" s="1"/>
    </row>
    <row r="7" spans="1:11" ht="20.25" x14ac:dyDescent="0.3">
      <c r="A7" s="265" t="s">
        <v>0</v>
      </c>
      <c r="B7" s="265"/>
      <c r="C7" s="265"/>
      <c r="D7" s="265"/>
      <c r="E7" s="265"/>
      <c r="F7" s="265"/>
      <c r="G7" s="265"/>
      <c r="H7" s="265"/>
      <c r="I7" s="1"/>
    </row>
    <row r="8" spans="1:11" ht="18.75" customHeight="1" thickBot="1" x14ac:dyDescent="0.3">
      <c r="A8" s="66"/>
      <c r="B8" s="66"/>
      <c r="C8" s="66"/>
      <c r="D8" s="66"/>
      <c r="E8" s="67"/>
      <c r="F8" s="68"/>
      <c r="G8" s="69"/>
      <c r="H8" s="70"/>
      <c r="I8" s="1"/>
    </row>
    <row r="9" spans="1:11" ht="0.75" customHeight="1" thickBot="1" x14ac:dyDescent="0.3">
      <c r="A9" s="266" t="s">
        <v>1</v>
      </c>
      <c r="B9" s="267"/>
      <c r="C9" s="267"/>
      <c r="D9" s="267"/>
      <c r="E9" s="268"/>
      <c r="F9" s="74"/>
      <c r="G9" s="75" t="s">
        <v>2</v>
      </c>
      <c r="H9" s="76" t="s">
        <v>2</v>
      </c>
      <c r="I9" s="1"/>
    </row>
    <row r="10" spans="1:11" ht="49.5" customHeight="1" thickBot="1" x14ac:dyDescent="0.3">
      <c r="A10" s="71"/>
      <c r="B10" s="71"/>
      <c r="C10" s="72"/>
      <c r="D10" s="72"/>
      <c r="E10" s="73"/>
      <c r="F10" s="77"/>
      <c r="G10" s="78" t="s">
        <v>126</v>
      </c>
      <c r="H10" s="79" t="s">
        <v>127</v>
      </c>
      <c r="I10" s="2" t="s">
        <v>3</v>
      </c>
      <c r="J10" s="79" t="s">
        <v>130</v>
      </c>
      <c r="K10" s="175" t="s">
        <v>128</v>
      </c>
    </row>
    <row r="11" spans="1:11" ht="32.25" thickBot="1" x14ac:dyDescent="0.3">
      <c r="A11" s="80" t="s">
        <v>4</v>
      </c>
      <c r="B11" s="78" t="s">
        <v>5</v>
      </c>
      <c r="C11" s="81" t="s">
        <v>6</v>
      </c>
      <c r="D11" s="78" t="s">
        <v>7</v>
      </c>
      <c r="E11" s="78" t="s">
        <v>8</v>
      </c>
      <c r="F11" s="71" t="s">
        <v>9</v>
      </c>
      <c r="G11" s="82" t="s">
        <v>10</v>
      </c>
      <c r="H11" s="83" t="s">
        <v>10</v>
      </c>
      <c r="I11" s="3" t="s">
        <v>10</v>
      </c>
      <c r="J11" s="83" t="s">
        <v>10</v>
      </c>
      <c r="K11" s="83" t="s">
        <v>10</v>
      </c>
    </row>
    <row r="12" spans="1:11" ht="15.75" x14ac:dyDescent="0.25">
      <c r="A12" s="84"/>
      <c r="B12" s="85"/>
      <c r="C12" s="86"/>
      <c r="D12" s="87"/>
      <c r="E12" s="88"/>
      <c r="F12" s="89"/>
      <c r="G12" s="90"/>
      <c r="H12" s="91"/>
      <c r="I12" s="4"/>
      <c r="J12" s="91"/>
      <c r="K12" s="91"/>
    </row>
    <row r="13" spans="1:11" ht="16.5" thickBot="1" x14ac:dyDescent="0.3">
      <c r="A13" s="85">
        <v>2</v>
      </c>
      <c r="B13" s="85">
        <v>1</v>
      </c>
      <c r="C13" s="92"/>
      <c r="D13" s="85"/>
      <c r="E13" s="93"/>
      <c r="F13" s="94" t="s">
        <v>11</v>
      </c>
      <c r="G13" s="95">
        <f>G14+G32+G39+G44-1</f>
        <v>23002832</v>
      </c>
      <c r="H13" s="165">
        <f>H14+H32+H39+H44</f>
        <v>1661145.73</v>
      </c>
      <c r="I13" s="5" t="e">
        <f>I14+I32+I39+I44</f>
        <v>#REF!</v>
      </c>
      <c r="J13" s="165">
        <f>J14+J32+J39+J44</f>
        <v>1673803.74</v>
      </c>
      <c r="K13" s="165">
        <f>K14+K32+K39+K44</f>
        <v>3334949.4699999997</v>
      </c>
    </row>
    <row r="14" spans="1:11" ht="16.5" thickBot="1" x14ac:dyDescent="0.3">
      <c r="A14" s="85">
        <v>2</v>
      </c>
      <c r="B14" s="85">
        <v>1</v>
      </c>
      <c r="C14" s="92">
        <v>1</v>
      </c>
      <c r="D14" s="85"/>
      <c r="E14" s="93"/>
      <c r="F14" s="94" t="s">
        <v>12</v>
      </c>
      <c r="G14" s="96">
        <f>G15+G18+G23+G26</f>
        <v>19031957</v>
      </c>
      <c r="H14" s="96">
        <f>H15+H18+H23+H26</f>
        <v>1454830</v>
      </c>
      <c r="I14" s="6" t="e">
        <f>I15+I18+I23+I26</f>
        <v>#REF!</v>
      </c>
      <c r="J14" s="96">
        <f>J15+J18+J23+J26</f>
        <v>1464830</v>
      </c>
      <c r="K14" s="96">
        <f>K15+K18+K23+K26</f>
        <v>2919660</v>
      </c>
    </row>
    <row r="15" spans="1:11" ht="16.5" thickBot="1" x14ac:dyDescent="0.3">
      <c r="A15" s="85">
        <v>2</v>
      </c>
      <c r="B15" s="85">
        <v>1</v>
      </c>
      <c r="C15" s="92">
        <v>1</v>
      </c>
      <c r="D15" s="85">
        <v>1</v>
      </c>
      <c r="E15" s="93"/>
      <c r="F15" s="94" t="s">
        <v>13</v>
      </c>
      <c r="G15" s="97">
        <f>G16</f>
        <v>6300000</v>
      </c>
      <c r="H15" s="98">
        <f>H16</f>
        <v>525000</v>
      </c>
      <c r="I15" s="7" t="e">
        <f>I16</f>
        <v>#REF!</v>
      </c>
      <c r="J15" s="98">
        <f>J16</f>
        <v>525000</v>
      </c>
      <c r="K15" s="98">
        <f>K16</f>
        <v>1050000</v>
      </c>
    </row>
    <row r="16" spans="1:11" ht="15.75" x14ac:dyDescent="0.25">
      <c r="A16" s="85">
        <v>2</v>
      </c>
      <c r="B16" s="85">
        <v>1</v>
      </c>
      <c r="C16" s="92">
        <v>1</v>
      </c>
      <c r="D16" s="85">
        <v>1</v>
      </c>
      <c r="E16" s="85">
        <v>1</v>
      </c>
      <c r="F16" s="99" t="s">
        <v>14</v>
      </c>
      <c r="G16" s="100">
        <v>6300000</v>
      </c>
      <c r="H16" s="101">
        <f>225000+300000</f>
        <v>525000</v>
      </c>
      <c r="I16" s="8" t="e">
        <f>+G16-#REF!</f>
        <v>#REF!</v>
      </c>
      <c r="J16" s="101">
        <f>225000+300000</f>
        <v>525000</v>
      </c>
      <c r="K16" s="101">
        <f>+H16+J16</f>
        <v>1050000</v>
      </c>
    </row>
    <row r="17" spans="1:11" ht="15.75" x14ac:dyDescent="0.25">
      <c r="A17" s="85"/>
      <c r="B17" s="85"/>
      <c r="C17" s="92"/>
      <c r="D17" s="85"/>
      <c r="E17" s="84"/>
      <c r="F17" s="99"/>
      <c r="G17" s="102"/>
      <c r="H17" s="103"/>
      <c r="I17" s="9"/>
      <c r="J17" s="103"/>
      <c r="K17" s="103"/>
    </row>
    <row r="18" spans="1:11" ht="36" customHeight="1" thickBot="1" x14ac:dyDescent="0.3">
      <c r="A18" s="85">
        <v>2</v>
      </c>
      <c r="B18" s="85">
        <v>1</v>
      </c>
      <c r="C18" s="92">
        <v>1</v>
      </c>
      <c r="D18" s="85">
        <v>2</v>
      </c>
      <c r="E18" s="93"/>
      <c r="F18" s="104" t="s">
        <v>15</v>
      </c>
      <c r="G18" s="95">
        <f>G19</f>
        <v>11267960</v>
      </c>
      <c r="H18" s="105">
        <f>SUM(H19:H21)</f>
        <v>929830</v>
      </c>
      <c r="I18" s="10" t="e">
        <f>SUM(I19:I21)</f>
        <v>#REF!</v>
      </c>
      <c r="J18" s="105">
        <f>SUM(J19:J21)</f>
        <v>939830</v>
      </c>
      <c r="K18" s="105">
        <f>SUM(K19:K21)</f>
        <v>1869660</v>
      </c>
    </row>
    <row r="19" spans="1:11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1</v>
      </c>
      <c r="F19" s="106" t="s">
        <v>16</v>
      </c>
      <c r="G19" s="107">
        <v>11267960</v>
      </c>
      <c r="H19" s="103">
        <f>51400+75378+60885+73500+48920+80500+93500+73500+122117+110065+85065</f>
        <v>874830</v>
      </c>
      <c r="I19" s="9" t="e">
        <f>+G19-#REF!</f>
        <v>#REF!</v>
      </c>
      <c r="J19" s="103">
        <f>51400+75378+60885+73500+48920+80500+93500+73500+122117+110065+85065+65000</f>
        <v>939830</v>
      </c>
      <c r="K19" s="103">
        <f>+H19+J19</f>
        <v>1814660</v>
      </c>
    </row>
    <row r="20" spans="1:11" ht="15.75" x14ac:dyDescent="0.25">
      <c r="A20" s="85">
        <v>2</v>
      </c>
      <c r="B20" s="85">
        <v>1</v>
      </c>
      <c r="C20" s="92">
        <v>1</v>
      </c>
      <c r="D20" s="85">
        <v>2</v>
      </c>
      <c r="E20" s="85">
        <v>2</v>
      </c>
      <c r="F20" s="106" t="s">
        <v>17</v>
      </c>
      <c r="G20" s="102"/>
      <c r="H20" s="103"/>
      <c r="I20" s="9"/>
      <c r="J20" s="103"/>
      <c r="K20" s="103">
        <f>+H20+J20</f>
        <v>0</v>
      </c>
    </row>
    <row r="21" spans="1:11" ht="15.75" x14ac:dyDescent="0.25">
      <c r="A21" s="85">
        <v>2</v>
      </c>
      <c r="B21" s="85">
        <v>1</v>
      </c>
      <c r="C21" s="92">
        <v>1</v>
      </c>
      <c r="D21" s="85">
        <v>2</v>
      </c>
      <c r="E21" s="85">
        <v>5</v>
      </c>
      <c r="F21" s="106" t="s">
        <v>18</v>
      </c>
      <c r="G21" s="108"/>
      <c r="H21" s="110">
        <v>55000</v>
      </c>
      <c r="I21" s="12" t="e">
        <f>+G21-#REF!</f>
        <v>#REF!</v>
      </c>
      <c r="J21" s="110"/>
      <c r="K21" s="103">
        <f>+H21+J21</f>
        <v>55000</v>
      </c>
    </row>
    <row r="22" spans="1:11" ht="15.75" x14ac:dyDescent="0.25">
      <c r="A22" s="85"/>
      <c r="B22" s="85"/>
      <c r="C22" s="92"/>
      <c r="D22" s="85"/>
      <c r="E22" s="85"/>
      <c r="F22" s="106"/>
      <c r="G22" s="108"/>
      <c r="H22" s="110" t="s">
        <v>19</v>
      </c>
      <c r="I22" s="12"/>
      <c r="J22" s="110" t="s">
        <v>19</v>
      </c>
      <c r="K22" s="110" t="s">
        <v>19</v>
      </c>
    </row>
    <row r="23" spans="1:11" ht="16.5" thickBot="1" x14ac:dyDescent="0.3">
      <c r="A23" s="85">
        <v>2</v>
      </c>
      <c r="B23" s="85">
        <v>1</v>
      </c>
      <c r="C23" s="92">
        <v>1</v>
      </c>
      <c r="D23" s="85">
        <v>4</v>
      </c>
      <c r="E23" s="93"/>
      <c r="F23" s="104" t="s">
        <v>20</v>
      </c>
      <c r="G23" s="95">
        <f>G24</f>
        <v>1463997</v>
      </c>
      <c r="H23" s="96">
        <f>H24</f>
        <v>0</v>
      </c>
      <c r="I23" s="6" t="e">
        <f>I24</f>
        <v>#REF!</v>
      </c>
      <c r="J23" s="96">
        <f>J24</f>
        <v>0</v>
      </c>
      <c r="K23" s="96">
        <f>K24</f>
        <v>0</v>
      </c>
    </row>
    <row r="24" spans="1:11" ht="15.75" x14ac:dyDescent="0.25">
      <c r="A24" s="85">
        <v>2</v>
      </c>
      <c r="B24" s="85">
        <v>1</v>
      </c>
      <c r="C24" s="92">
        <v>1</v>
      </c>
      <c r="D24" s="85">
        <v>4</v>
      </c>
      <c r="E24" s="85">
        <v>1</v>
      </c>
      <c r="F24" s="106" t="s">
        <v>21</v>
      </c>
      <c r="G24" s="107">
        <v>1463997</v>
      </c>
      <c r="H24" s="109">
        <v>0</v>
      </c>
      <c r="I24" s="13" t="e">
        <f>+G24-#REF!</f>
        <v>#REF!</v>
      </c>
      <c r="J24" s="109">
        <v>0</v>
      </c>
      <c r="K24" s="109">
        <f>+H24+J24</f>
        <v>0</v>
      </c>
    </row>
    <row r="25" spans="1:11" ht="15.75" x14ac:dyDescent="0.25">
      <c r="A25" s="85"/>
      <c r="B25" s="85"/>
      <c r="C25" s="92"/>
      <c r="D25" s="85"/>
      <c r="E25" s="85"/>
      <c r="F25" s="106"/>
      <c r="G25" s="108"/>
      <c r="H25" s="110"/>
      <c r="I25" s="12"/>
      <c r="J25" s="110"/>
      <c r="K25" s="110"/>
    </row>
    <row r="26" spans="1:11" ht="16.5" thickBot="1" x14ac:dyDescent="0.3">
      <c r="A26" s="85">
        <v>2</v>
      </c>
      <c r="B26" s="85">
        <v>1</v>
      </c>
      <c r="C26" s="92">
        <v>1</v>
      </c>
      <c r="D26" s="85">
        <v>5</v>
      </c>
      <c r="E26" s="93"/>
      <c r="F26" s="104" t="s">
        <v>22</v>
      </c>
      <c r="G26" s="111">
        <f>G27+G30</f>
        <v>0</v>
      </c>
      <c r="H26" s="105">
        <f>H27+H28+H29+H30</f>
        <v>0</v>
      </c>
      <c r="I26" s="10">
        <f>I27+I28+I29+I30</f>
        <v>0</v>
      </c>
      <c r="J26" s="105">
        <f>J27+J28+J29+J30</f>
        <v>0</v>
      </c>
      <c r="K26" s="105">
        <f>K27+K28+K29+K30</f>
        <v>0</v>
      </c>
    </row>
    <row r="27" spans="1:11" ht="15.75" x14ac:dyDescent="0.25">
      <c r="A27" s="85">
        <v>2</v>
      </c>
      <c r="B27" s="85">
        <v>1</v>
      </c>
      <c r="C27" s="92">
        <v>1</v>
      </c>
      <c r="D27" s="85">
        <v>5</v>
      </c>
      <c r="E27" s="85">
        <v>1</v>
      </c>
      <c r="F27" s="106" t="s">
        <v>22</v>
      </c>
      <c r="G27" s="108"/>
      <c r="H27" s="110">
        <v>0</v>
      </c>
      <c r="I27" s="12">
        <v>0</v>
      </c>
      <c r="J27" s="110">
        <v>0</v>
      </c>
      <c r="K27" s="110">
        <f>+H27+J27</f>
        <v>0</v>
      </c>
    </row>
    <row r="28" spans="1:11" ht="31.5" x14ac:dyDescent="0.25">
      <c r="A28" s="85">
        <v>2</v>
      </c>
      <c r="B28" s="85">
        <v>1</v>
      </c>
      <c r="C28" s="92">
        <v>1</v>
      </c>
      <c r="D28" s="85">
        <v>5</v>
      </c>
      <c r="E28" s="85">
        <v>2</v>
      </c>
      <c r="F28" s="106" t="s">
        <v>23</v>
      </c>
      <c r="G28" s="108"/>
      <c r="H28" s="110">
        <v>0</v>
      </c>
      <c r="I28" s="12">
        <v>0</v>
      </c>
      <c r="J28" s="110">
        <v>0</v>
      </c>
      <c r="K28" s="110">
        <f>+H28+J28</f>
        <v>0</v>
      </c>
    </row>
    <row r="29" spans="1:11" ht="15.75" x14ac:dyDescent="0.25">
      <c r="A29" s="85">
        <v>2</v>
      </c>
      <c r="B29" s="85">
        <v>1</v>
      </c>
      <c r="C29" s="92">
        <v>1</v>
      </c>
      <c r="D29" s="85">
        <v>5</v>
      </c>
      <c r="E29" s="85">
        <v>3</v>
      </c>
      <c r="F29" s="106" t="s">
        <v>24</v>
      </c>
      <c r="G29" s="108"/>
      <c r="H29" s="110">
        <v>0</v>
      </c>
      <c r="I29" s="12">
        <v>0</v>
      </c>
      <c r="J29" s="110">
        <v>0</v>
      </c>
      <c r="K29" s="110">
        <f>+H29+J29</f>
        <v>0</v>
      </c>
    </row>
    <row r="30" spans="1:11" ht="15.75" x14ac:dyDescent="0.25">
      <c r="A30" s="85">
        <v>2</v>
      </c>
      <c r="B30" s="85">
        <v>1</v>
      </c>
      <c r="C30" s="92">
        <v>1</v>
      </c>
      <c r="D30" s="85">
        <v>5</v>
      </c>
      <c r="E30" s="85">
        <v>4</v>
      </c>
      <c r="F30" s="106" t="s">
        <v>25</v>
      </c>
      <c r="G30" s="108"/>
      <c r="H30" s="110"/>
      <c r="I30" s="12"/>
      <c r="J30" s="110"/>
      <c r="K30" s="110"/>
    </row>
    <row r="31" spans="1:11" ht="16.5" thickBot="1" x14ac:dyDescent="0.3">
      <c r="A31" s="85"/>
      <c r="B31" s="85"/>
      <c r="C31" s="92"/>
      <c r="D31" s="85"/>
      <c r="E31" s="85"/>
      <c r="F31" s="106"/>
      <c r="G31" s="108"/>
      <c r="H31" s="110"/>
      <c r="I31" s="12"/>
      <c r="J31" s="110"/>
      <c r="K31" s="110"/>
    </row>
    <row r="32" spans="1:11" ht="16.5" thickBot="1" x14ac:dyDescent="0.3">
      <c r="A32" s="85">
        <v>2</v>
      </c>
      <c r="B32" s="85">
        <v>1</v>
      </c>
      <c r="C32" s="92">
        <v>2</v>
      </c>
      <c r="D32" s="85"/>
      <c r="E32" s="85"/>
      <c r="F32" s="104" t="s">
        <v>26</v>
      </c>
      <c r="G32" s="112">
        <f>G33</f>
        <v>1463997</v>
      </c>
      <c r="H32" s="113">
        <f>H33</f>
        <v>0</v>
      </c>
      <c r="I32" s="14" t="e">
        <f>I33</f>
        <v>#REF!</v>
      </c>
      <c r="J32" s="113">
        <f>J33</f>
        <v>0</v>
      </c>
      <c r="K32" s="113">
        <f>K33</f>
        <v>0</v>
      </c>
    </row>
    <row r="33" spans="1:11" ht="16.5" thickBot="1" x14ac:dyDescent="0.3">
      <c r="A33" s="85">
        <v>2</v>
      </c>
      <c r="B33" s="85">
        <v>1</v>
      </c>
      <c r="C33" s="85">
        <v>2</v>
      </c>
      <c r="D33" s="85">
        <v>2</v>
      </c>
      <c r="E33" s="85"/>
      <c r="F33" s="104" t="s">
        <v>27</v>
      </c>
      <c r="G33" s="95">
        <f>G34+G35+G36</f>
        <v>1463997</v>
      </c>
      <c r="H33" s="113">
        <f>H36</f>
        <v>0</v>
      </c>
      <c r="I33" s="15" t="e">
        <f>I36</f>
        <v>#REF!</v>
      </c>
      <c r="J33" s="113">
        <f>J36</f>
        <v>0</v>
      </c>
      <c r="K33" s="113">
        <f>K36</f>
        <v>0</v>
      </c>
    </row>
    <row r="34" spans="1:11" ht="31.5" x14ac:dyDescent="0.25">
      <c r="A34" s="85">
        <v>2</v>
      </c>
      <c r="B34" s="85">
        <v>1</v>
      </c>
      <c r="C34" s="85">
        <v>2</v>
      </c>
      <c r="D34" s="85">
        <v>2</v>
      </c>
      <c r="E34" s="85">
        <v>2</v>
      </c>
      <c r="F34" s="104" t="s">
        <v>28</v>
      </c>
      <c r="G34" s="114"/>
      <c r="H34" s="96">
        <v>0</v>
      </c>
      <c r="I34" s="6">
        <v>0</v>
      </c>
      <c r="J34" s="96">
        <v>0</v>
      </c>
      <c r="K34" s="96">
        <f>+H34+J34</f>
        <v>0</v>
      </c>
    </row>
    <row r="35" spans="1:11" ht="15.75" x14ac:dyDescent="0.25">
      <c r="A35" s="85">
        <v>2</v>
      </c>
      <c r="B35" s="85">
        <v>1</v>
      </c>
      <c r="C35" s="85">
        <v>2</v>
      </c>
      <c r="D35" s="85">
        <v>2</v>
      </c>
      <c r="E35" s="85">
        <v>4</v>
      </c>
      <c r="F35" s="106" t="s">
        <v>29</v>
      </c>
      <c r="G35" s="108">
        <v>0</v>
      </c>
      <c r="H35" s="110">
        <v>0</v>
      </c>
      <c r="I35" s="12">
        <v>0</v>
      </c>
      <c r="J35" s="110">
        <v>0</v>
      </c>
      <c r="K35" s="96">
        <f>+H35+J35</f>
        <v>0</v>
      </c>
    </row>
    <row r="36" spans="1:11" ht="15.75" x14ac:dyDescent="0.25">
      <c r="A36" s="85">
        <v>2</v>
      </c>
      <c r="B36" s="85">
        <v>1</v>
      </c>
      <c r="C36" s="85">
        <v>2</v>
      </c>
      <c r="D36" s="85">
        <v>2</v>
      </c>
      <c r="E36" s="85">
        <v>15</v>
      </c>
      <c r="F36" s="106" t="s">
        <v>30</v>
      </c>
      <c r="G36" s="108">
        <v>1463997</v>
      </c>
      <c r="H36" s="110"/>
      <c r="I36" s="12" t="e">
        <f>+G36-#REF!</f>
        <v>#REF!</v>
      </c>
      <c r="J36" s="110"/>
      <c r="K36" s="96">
        <f>+H36+J36</f>
        <v>0</v>
      </c>
    </row>
    <row r="37" spans="1:11" ht="15.75" x14ac:dyDescent="0.25">
      <c r="A37" s="85"/>
      <c r="B37" s="85"/>
      <c r="C37" s="92"/>
      <c r="D37" s="85"/>
      <c r="E37" s="85"/>
      <c r="F37" s="106"/>
      <c r="G37" s="108"/>
      <c r="H37" s="110"/>
      <c r="I37" s="12"/>
      <c r="J37" s="110"/>
      <c r="K37" s="110"/>
    </row>
    <row r="38" spans="1:11" ht="15.75" x14ac:dyDescent="0.25">
      <c r="A38" s="85"/>
      <c r="B38" s="85"/>
      <c r="C38" s="92"/>
      <c r="D38" s="85"/>
      <c r="E38" s="85"/>
      <c r="F38" s="106"/>
      <c r="G38" s="108"/>
      <c r="H38" s="110"/>
      <c r="I38" s="12"/>
      <c r="J38" s="110"/>
      <c r="K38" s="110"/>
    </row>
    <row r="39" spans="1:11" ht="16.5" thickBot="1" x14ac:dyDescent="0.3">
      <c r="A39" s="85">
        <v>2</v>
      </c>
      <c r="B39" s="85">
        <v>1</v>
      </c>
      <c r="C39" s="92">
        <v>3</v>
      </c>
      <c r="D39" s="85"/>
      <c r="E39" s="85"/>
      <c r="F39" s="104" t="s">
        <v>31</v>
      </c>
      <c r="G39" s="108"/>
      <c r="H39" s="110"/>
      <c r="I39" s="12"/>
      <c r="J39" s="110"/>
      <c r="K39" s="110"/>
    </row>
    <row r="40" spans="1:11" ht="16.5" thickBot="1" x14ac:dyDescent="0.3">
      <c r="A40" s="85">
        <v>2</v>
      </c>
      <c r="B40" s="85">
        <v>1</v>
      </c>
      <c r="C40" s="92">
        <v>3</v>
      </c>
      <c r="D40" s="85">
        <v>1</v>
      </c>
      <c r="E40" s="93"/>
      <c r="F40" s="104" t="s">
        <v>32</v>
      </c>
      <c r="G40" s="97">
        <f>G41+G42</f>
        <v>0</v>
      </c>
      <c r="H40" s="98">
        <f>H41+H42</f>
        <v>0</v>
      </c>
      <c r="I40" s="16" t="e">
        <f>I41+I42</f>
        <v>#REF!</v>
      </c>
      <c r="J40" s="98">
        <f>J41+J42</f>
        <v>0</v>
      </c>
      <c r="K40" s="98">
        <f>K41+K42</f>
        <v>0</v>
      </c>
    </row>
    <row r="41" spans="1:11" ht="15.75" x14ac:dyDescent="0.25">
      <c r="A41" s="85">
        <v>2</v>
      </c>
      <c r="B41" s="85">
        <v>1</v>
      </c>
      <c r="C41" s="92">
        <v>3</v>
      </c>
      <c r="D41" s="85">
        <v>1</v>
      </c>
      <c r="E41" s="85">
        <v>1</v>
      </c>
      <c r="F41" s="106" t="s">
        <v>33</v>
      </c>
      <c r="G41" s="107"/>
      <c r="H41" s="110">
        <f>G41*12</f>
        <v>0</v>
      </c>
      <c r="I41" s="12" t="e">
        <f>+G41-#REF!</f>
        <v>#REF!</v>
      </c>
      <c r="J41" s="110"/>
      <c r="K41" s="110"/>
    </row>
    <row r="42" spans="1:11" ht="15.75" x14ac:dyDescent="0.25">
      <c r="A42" s="85">
        <v>2</v>
      </c>
      <c r="B42" s="85">
        <v>1</v>
      </c>
      <c r="C42" s="92">
        <v>3</v>
      </c>
      <c r="D42" s="85">
        <v>1</v>
      </c>
      <c r="E42" s="85">
        <v>2</v>
      </c>
      <c r="F42" s="106" t="s">
        <v>34</v>
      </c>
      <c r="G42" s="108"/>
      <c r="H42" s="110">
        <f>G42*12</f>
        <v>0</v>
      </c>
      <c r="I42" s="12" t="e">
        <f>+G42-#REF!</f>
        <v>#REF!</v>
      </c>
      <c r="J42" s="110"/>
      <c r="K42" s="110"/>
    </row>
    <row r="43" spans="1:11" s="17" customFormat="1" ht="15.75" x14ac:dyDescent="0.25">
      <c r="A43" s="85"/>
      <c r="B43" s="85"/>
      <c r="C43" s="92"/>
      <c r="D43" s="85"/>
      <c r="E43" s="85"/>
      <c r="F43" s="106"/>
      <c r="G43" s="108"/>
      <c r="H43" s="110"/>
      <c r="I43" s="12"/>
      <c r="J43" s="110"/>
      <c r="K43" s="110"/>
    </row>
    <row r="44" spans="1:11" ht="32.25" thickBot="1" x14ac:dyDescent="0.3">
      <c r="A44" s="85">
        <v>2</v>
      </c>
      <c r="B44" s="115">
        <v>1</v>
      </c>
      <c r="C44" s="116">
        <v>5</v>
      </c>
      <c r="D44" s="93"/>
      <c r="E44" s="93"/>
      <c r="F44" s="104" t="s">
        <v>35</v>
      </c>
      <c r="G44" s="95">
        <f>SUM(G45:G47)</f>
        <v>2506879</v>
      </c>
      <c r="H44" s="96">
        <f>SUM(H45:H47)</f>
        <v>206315.72999999998</v>
      </c>
      <c r="I44" s="6" t="e">
        <f>SUM(I45:I47)</f>
        <v>#REF!</v>
      </c>
      <c r="J44" s="96">
        <f>SUM(J45:J47)</f>
        <v>208973.74</v>
      </c>
      <c r="K44" s="96">
        <f>SUM(K45:K47)</f>
        <v>415289.47</v>
      </c>
    </row>
    <row r="45" spans="1:11" ht="15.75" x14ac:dyDescent="0.25">
      <c r="A45" s="85">
        <v>2</v>
      </c>
      <c r="B45" s="85">
        <v>1</v>
      </c>
      <c r="C45" s="92">
        <v>5</v>
      </c>
      <c r="D45" s="85">
        <v>1</v>
      </c>
      <c r="E45" s="85"/>
      <c r="F45" s="99" t="s">
        <v>36</v>
      </c>
      <c r="G45" s="107">
        <v>1128795</v>
      </c>
      <c r="H45" s="109">
        <v>92444.4</v>
      </c>
      <c r="I45" s="13" t="e">
        <f>+G45-#REF!</f>
        <v>#REF!</v>
      </c>
      <c r="J45" s="109">
        <v>94075.8</v>
      </c>
      <c r="K45" s="109">
        <f>+H45+J45</f>
        <v>186520.2</v>
      </c>
    </row>
    <row r="46" spans="1:11" ht="15.75" x14ac:dyDescent="0.25">
      <c r="A46" s="85">
        <v>2</v>
      </c>
      <c r="B46" s="85">
        <v>1</v>
      </c>
      <c r="C46" s="92">
        <v>5</v>
      </c>
      <c r="D46" s="85">
        <v>2</v>
      </c>
      <c r="E46" s="85"/>
      <c r="F46" s="99" t="s">
        <v>37</v>
      </c>
      <c r="G46" s="108">
        <v>1247325</v>
      </c>
      <c r="H46" s="110">
        <v>103292.95</v>
      </c>
      <c r="I46" s="12" t="e">
        <f>+G46-#REF!</f>
        <v>#REF!</v>
      </c>
      <c r="J46" s="110">
        <v>104002.95</v>
      </c>
      <c r="K46" s="110">
        <f>+H46+J46</f>
        <v>207295.9</v>
      </c>
    </row>
    <row r="47" spans="1:11" ht="15.75" x14ac:dyDescent="0.25">
      <c r="A47" s="85">
        <v>2</v>
      </c>
      <c r="B47" s="85">
        <v>1</v>
      </c>
      <c r="C47" s="92">
        <v>5</v>
      </c>
      <c r="D47" s="85">
        <v>3</v>
      </c>
      <c r="E47" s="85"/>
      <c r="F47" s="106" t="s">
        <v>38</v>
      </c>
      <c r="G47" s="108">
        <v>130759</v>
      </c>
      <c r="H47" s="110">
        <v>10578.38</v>
      </c>
      <c r="I47" s="12" t="e">
        <f>+G47-#REF!</f>
        <v>#REF!</v>
      </c>
      <c r="J47" s="110">
        <v>10894.99</v>
      </c>
      <c r="K47" s="110">
        <f>+H47+J47</f>
        <v>21473.37</v>
      </c>
    </row>
    <row r="48" spans="1:11" ht="15.75" x14ac:dyDescent="0.25">
      <c r="A48" s="85"/>
      <c r="B48" s="85"/>
      <c r="C48" s="92"/>
      <c r="D48" s="85"/>
      <c r="E48" s="85"/>
      <c r="F48" s="106"/>
      <c r="G48" s="108"/>
      <c r="H48" s="110"/>
      <c r="I48" s="12"/>
      <c r="J48" s="110"/>
      <c r="K48" s="110"/>
    </row>
    <row r="49" spans="1:11" ht="16.5" thickBot="1" x14ac:dyDescent="0.3">
      <c r="A49" s="85">
        <v>2</v>
      </c>
      <c r="B49" s="85">
        <v>2</v>
      </c>
      <c r="C49" s="92"/>
      <c r="D49" s="85"/>
      <c r="E49" s="93"/>
      <c r="F49" s="94" t="s">
        <v>39</v>
      </c>
      <c r="G49" s="95">
        <f>G50+G58+G62+G66+G70+G84+G92+G79+G107</f>
        <v>18307031</v>
      </c>
      <c r="H49" s="105">
        <f>H50+H58+H62+H66+H70+H84+H92+H79+H107</f>
        <v>1340446.24</v>
      </c>
      <c r="I49" s="10" t="e">
        <f>I50+I58+I62+I66+I70+I84+I92+I79+I107</f>
        <v>#REF!</v>
      </c>
      <c r="J49" s="105">
        <f>J50+J58+J62+J66+J70+J84+J92+J79+J107</f>
        <v>1520971.4000000001</v>
      </c>
      <c r="K49" s="105">
        <f>K50+K58+K62+K66+K70+K84+K92+K79+K107</f>
        <v>2861417.6399999997</v>
      </c>
    </row>
    <row r="50" spans="1:11" ht="16.5" thickBot="1" x14ac:dyDescent="0.3">
      <c r="A50" s="85">
        <v>2</v>
      </c>
      <c r="B50" s="85">
        <v>2</v>
      </c>
      <c r="C50" s="92">
        <v>1</v>
      </c>
      <c r="D50" s="85"/>
      <c r="E50" s="93"/>
      <c r="F50" s="94" t="s">
        <v>40</v>
      </c>
      <c r="G50" s="112">
        <f>G51+G52+G53+G55</f>
        <v>1401915</v>
      </c>
      <c r="H50" s="96">
        <f>H51+H52+H53+H55</f>
        <v>122900.01999999999</v>
      </c>
      <c r="I50" s="6" t="e">
        <f>I51+I52+I53+I55</f>
        <v>#REF!</v>
      </c>
      <c r="J50" s="96">
        <f>J51+J52+J53+J55</f>
        <v>121985.62</v>
      </c>
      <c r="K50" s="96">
        <f>K51+K52+K53+K55</f>
        <v>244885.63999999998</v>
      </c>
    </row>
    <row r="51" spans="1:11" ht="15.75" x14ac:dyDescent="0.25">
      <c r="A51" s="85">
        <v>2</v>
      </c>
      <c r="B51" s="85">
        <v>2</v>
      </c>
      <c r="C51" s="92">
        <v>1</v>
      </c>
      <c r="D51" s="85">
        <v>3</v>
      </c>
      <c r="E51" s="85"/>
      <c r="F51" s="99" t="s">
        <v>41</v>
      </c>
      <c r="G51" s="107">
        <v>336000</v>
      </c>
      <c r="H51" s="109">
        <f>47963.82+22207.42+2155</f>
        <v>72326.239999999991</v>
      </c>
      <c r="I51" s="13" t="e">
        <f>+G51-#REF!</f>
        <v>#REF!</v>
      </c>
      <c r="J51" s="109">
        <f>8785.14+2212.21+22518.17+31889</f>
        <v>65404.52</v>
      </c>
      <c r="K51" s="109">
        <f>+H51+J51</f>
        <v>137730.75999999998</v>
      </c>
    </row>
    <row r="52" spans="1:11" ht="15.75" x14ac:dyDescent="0.25">
      <c r="A52" s="85">
        <v>2</v>
      </c>
      <c r="B52" s="85">
        <v>2</v>
      </c>
      <c r="C52" s="92">
        <v>1</v>
      </c>
      <c r="D52" s="85">
        <v>4</v>
      </c>
      <c r="E52" s="85"/>
      <c r="F52" s="99" t="s">
        <v>42</v>
      </c>
      <c r="G52" s="108">
        <v>47822</v>
      </c>
      <c r="H52" s="110"/>
      <c r="I52" s="12"/>
      <c r="J52" s="110"/>
      <c r="K52" s="110"/>
    </row>
    <row r="53" spans="1:11" ht="15.75" x14ac:dyDescent="0.25">
      <c r="A53" s="85">
        <v>2</v>
      </c>
      <c r="B53" s="85">
        <v>2</v>
      </c>
      <c r="C53" s="92">
        <v>1</v>
      </c>
      <c r="D53" s="85">
        <v>5</v>
      </c>
      <c r="E53" s="85"/>
      <c r="F53" s="99" t="s">
        <v>43</v>
      </c>
      <c r="G53" s="108">
        <v>346093</v>
      </c>
      <c r="H53" s="110"/>
      <c r="I53" s="12" t="e">
        <f>+G53-#REF!</f>
        <v>#REF!</v>
      </c>
      <c r="J53" s="110"/>
      <c r="K53" s="110"/>
    </row>
    <row r="54" spans="1:11" ht="15.75" x14ac:dyDescent="0.25">
      <c r="A54" s="85"/>
      <c r="B54" s="85"/>
      <c r="C54" s="92"/>
      <c r="D54" s="85"/>
      <c r="E54" s="85"/>
      <c r="F54" s="99"/>
      <c r="G54" s="108"/>
      <c r="H54" s="110"/>
      <c r="I54" s="12"/>
      <c r="J54" s="110"/>
      <c r="K54" s="110"/>
    </row>
    <row r="55" spans="1:11" ht="16.5" thickBot="1" x14ac:dyDescent="0.3">
      <c r="A55" s="85">
        <v>2</v>
      </c>
      <c r="B55" s="85">
        <v>2</v>
      </c>
      <c r="C55" s="92">
        <v>1</v>
      </c>
      <c r="D55" s="85">
        <v>6</v>
      </c>
      <c r="E55" s="85"/>
      <c r="F55" s="104" t="s">
        <v>44</v>
      </c>
      <c r="G55" s="95">
        <f>G56</f>
        <v>672000</v>
      </c>
      <c r="H55" s="117">
        <f>H56</f>
        <v>50573.78</v>
      </c>
      <c r="I55" s="19" t="e">
        <f>I56</f>
        <v>#REF!</v>
      </c>
      <c r="J55" s="117">
        <f>J56</f>
        <v>56581.1</v>
      </c>
      <c r="K55" s="117">
        <f>K56</f>
        <v>107154.88</v>
      </c>
    </row>
    <row r="56" spans="1:11" ht="15.75" x14ac:dyDescent="0.25">
      <c r="A56" s="85">
        <v>2</v>
      </c>
      <c r="B56" s="85">
        <v>2</v>
      </c>
      <c r="C56" s="92">
        <v>1</v>
      </c>
      <c r="D56" s="85">
        <v>6</v>
      </c>
      <c r="E56" s="85">
        <v>1</v>
      </c>
      <c r="F56" s="99" t="s">
        <v>45</v>
      </c>
      <c r="G56" s="107">
        <v>672000</v>
      </c>
      <c r="H56" s="110">
        <v>50573.78</v>
      </c>
      <c r="I56" s="13" t="e">
        <f>+G56-#REF!</f>
        <v>#REF!</v>
      </c>
      <c r="J56" s="110">
        <v>56581.1</v>
      </c>
      <c r="K56" s="110">
        <f>+H56+J56</f>
        <v>107154.88</v>
      </c>
    </row>
    <row r="57" spans="1:11" ht="15.75" x14ac:dyDescent="0.25">
      <c r="A57" s="85"/>
      <c r="B57" s="85"/>
      <c r="C57" s="92"/>
      <c r="D57" s="85"/>
      <c r="E57" s="85"/>
      <c r="F57" s="99"/>
      <c r="G57" s="108"/>
      <c r="H57" s="110"/>
      <c r="I57" s="12"/>
      <c r="J57" s="110"/>
      <c r="K57" s="110"/>
    </row>
    <row r="58" spans="1:11" ht="32.25" thickBot="1" x14ac:dyDescent="0.3">
      <c r="A58" s="85">
        <v>2</v>
      </c>
      <c r="B58" s="85">
        <v>2</v>
      </c>
      <c r="C58" s="92">
        <v>2</v>
      </c>
      <c r="D58" s="85"/>
      <c r="E58" s="85"/>
      <c r="F58" s="104" t="s">
        <v>46</v>
      </c>
      <c r="G58" s="95">
        <f>SUM(G59:G60)</f>
        <v>175500</v>
      </c>
      <c r="H58" s="96">
        <f>H59+H60</f>
        <v>0</v>
      </c>
      <c r="I58" s="20" t="e">
        <f>I59+I60</f>
        <v>#REF!</v>
      </c>
      <c r="J58" s="96">
        <f>J59+J60</f>
        <v>3325</v>
      </c>
      <c r="K58" s="96">
        <f>K59+K60</f>
        <v>3325</v>
      </c>
    </row>
    <row r="59" spans="1:11" ht="15.75" x14ac:dyDescent="0.25">
      <c r="A59" s="85">
        <v>2</v>
      </c>
      <c r="B59" s="85">
        <v>2</v>
      </c>
      <c r="C59" s="92">
        <v>2</v>
      </c>
      <c r="D59" s="85">
        <v>1</v>
      </c>
      <c r="E59" s="85"/>
      <c r="F59" s="106" t="s">
        <v>47</v>
      </c>
      <c r="G59" s="107">
        <v>175500</v>
      </c>
      <c r="H59" s="109"/>
      <c r="I59" s="12" t="e">
        <f>+G59-#REF!</f>
        <v>#REF!</v>
      </c>
      <c r="J59" s="109">
        <v>3100</v>
      </c>
      <c r="K59" s="109">
        <f>+H59+J59</f>
        <v>3100</v>
      </c>
    </row>
    <row r="60" spans="1:11" ht="15.75" x14ac:dyDescent="0.25">
      <c r="A60" s="85">
        <v>2</v>
      </c>
      <c r="B60" s="85">
        <v>2</v>
      </c>
      <c r="C60" s="92">
        <v>2</v>
      </c>
      <c r="D60" s="85">
        <v>2</v>
      </c>
      <c r="E60" s="85"/>
      <c r="F60" s="106" t="s">
        <v>48</v>
      </c>
      <c r="G60" s="108"/>
      <c r="H60" s="110"/>
      <c r="I60" s="12" t="e">
        <f>+G60-#REF!</f>
        <v>#REF!</v>
      </c>
      <c r="J60" s="110">
        <v>225</v>
      </c>
      <c r="K60" s="110">
        <f>+H60+J60</f>
        <v>225</v>
      </c>
    </row>
    <row r="61" spans="1:11" ht="15.75" x14ac:dyDescent="0.25">
      <c r="A61" s="85"/>
      <c r="B61" s="85"/>
      <c r="C61" s="92"/>
      <c r="D61" s="85"/>
      <c r="E61" s="85"/>
      <c r="F61" s="99"/>
      <c r="G61" s="108"/>
      <c r="H61" s="110"/>
      <c r="I61" s="12"/>
      <c r="J61" s="110"/>
      <c r="K61" s="110"/>
    </row>
    <row r="62" spans="1:11" ht="16.5" thickBot="1" x14ac:dyDescent="0.3">
      <c r="A62" s="85">
        <v>2</v>
      </c>
      <c r="B62" s="85">
        <v>2</v>
      </c>
      <c r="C62" s="92">
        <v>3</v>
      </c>
      <c r="D62" s="85"/>
      <c r="E62" s="85"/>
      <c r="F62" s="104" t="s">
        <v>49</v>
      </c>
      <c r="G62" s="95">
        <f>G63+G64</f>
        <v>550000</v>
      </c>
      <c r="H62" s="105">
        <f>H63+H64</f>
        <v>0</v>
      </c>
      <c r="I62" s="10" t="e">
        <f>I63+I64</f>
        <v>#REF!</v>
      </c>
      <c r="J62" s="105">
        <f>J63+J64</f>
        <v>0</v>
      </c>
      <c r="K62" s="105">
        <f>K63+K64</f>
        <v>0</v>
      </c>
    </row>
    <row r="63" spans="1:11" ht="15.75" x14ac:dyDescent="0.25">
      <c r="A63" s="85">
        <v>2</v>
      </c>
      <c r="B63" s="85">
        <v>2</v>
      </c>
      <c r="C63" s="92">
        <v>3</v>
      </c>
      <c r="D63" s="85">
        <v>1</v>
      </c>
      <c r="E63" s="119"/>
      <c r="F63" s="106" t="s">
        <v>50</v>
      </c>
      <c r="G63" s="100"/>
      <c r="H63" s="101"/>
      <c r="I63" s="8" t="e">
        <f>+G63-#REF!</f>
        <v>#REF!</v>
      </c>
      <c r="J63" s="101"/>
      <c r="K63" s="101"/>
    </row>
    <row r="64" spans="1:11" ht="15.75" x14ac:dyDescent="0.25">
      <c r="A64" s="85">
        <v>2</v>
      </c>
      <c r="B64" s="85">
        <v>2</v>
      </c>
      <c r="C64" s="92">
        <v>3</v>
      </c>
      <c r="D64" s="85">
        <v>2</v>
      </c>
      <c r="E64" s="119"/>
      <c r="F64" s="106" t="s">
        <v>51</v>
      </c>
      <c r="G64" s="108">
        <v>550000</v>
      </c>
      <c r="H64" s="110"/>
      <c r="I64" s="12" t="e">
        <f>+G64-#REF!</f>
        <v>#REF!</v>
      </c>
      <c r="J64" s="110"/>
      <c r="K64" s="110"/>
    </row>
    <row r="65" spans="1:11" ht="15.75" x14ac:dyDescent="0.25">
      <c r="A65" s="85"/>
      <c r="B65" s="85"/>
      <c r="C65" s="92"/>
      <c r="D65" s="85"/>
      <c r="E65" s="85"/>
      <c r="F65" s="106"/>
      <c r="G65" s="108"/>
      <c r="H65" s="110"/>
      <c r="I65" s="12" t="e">
        <f>+G65-#REF!</f>
        <v>#REF!</v>
      </c>
      <c r="J65" s="110"/>
      <c r="K65" s="110"/>
    </row>
    <row r="66" spans="1:11" ht="16.5" thickBot="1" x14ac:dyDescent="0.3">
      <c r="A66" s="85">
        <v>2</v>
      </c>
      <c r="B66" s="85">
        <v>2</v>
      </c>
      <c r="C66" s="92">
        <v>4</v>
      </c>
      <c r="D66" s="85"/>
      <c r="E66" s="85"/>
      <c r="F66" s="104" t="s">
        <v>52</v>
      </c>
      <c r="G66" s="95">
        <f>G67+G68</f>
        <v>280000</v>
      </c>
      <c r="H66" s="105">
        <f>H67+H68</f>
        <v>6910.99</v>
      </c>
      <c r="I66" s="10" t="e">
        <f>+G66-#REF!</f>
        <v>#REF!</v>
      </c>
      <c r="J66" s="105">
        <f>J67+J68</f>
        <v>1600</v>
      </c>
      <c r="K66" s="105">
        <f>K67+K68</f>
        <v>8510.99</v>
      </c>
    </row>
    <row r="67" spans="1:11" ht="15.75" x14ac:dyDescent="0.25">
      <c r="A67" s="85">
        <v>2</v>
      </c>
      <c r="B67" s="85">
        <v>2</v>
      </c>
      <c r="C67" s="92">
        <v>4</v>
      </c>
      <c r="D67" s="85">
        <v>1</v>
      </c>
      <c r="E67" s="85"/>
      <c r="F67" s="106" t="s">
        <v>53</v>
      </c>
      <c r="G67" s="107">
        <v>280000</v>
      </c>
      <c r="H67" s="110">
        <f>780+6130.99</f>
        <v>6910.99</v>
      </c>
      <c r="I67" s="12" t="e">
        <f>+G67-#REF!</f>
        <v>#REF!</v>
      </c>
      <c r="J67" s="110">
        <f>200+100+100+200+300+200+200+300</f>
        <v>1600</v>
      </c>
      <c r="K67" s="110">
        <f>+H67+J67</f>
        <v>8510.99</v>
      </c>
    </row>
    <row r="68" spans="1:11" ht="15.75" x14ac:dyDescent="0.25">
      <c r="A68" s="85">
        <v>2</v>
      </c>
      <c r="B68" s="85">
        <v>2</v>
      </c>
      <c r="C68" s="92">
        <v>4</v>
      </c>
      <c r="D68" s="85">
        <v>3</v>
      </c>
      <c r="E68" s="85"/>
      <c r="F68" s="106" t="s">
        <v>54</v>
      </c>
      <c r="G68" s="108"/>
      <c r="H68" s="110">
        <v>0</v>
      </c>
      <c r="I68" s="12" t="e">
        <f>+G68-#REF!</f>
        <v>#REF!</v>
      </c>
      <c r="J68" s="110">
        <v>0</v>
      </c>
      <c r="K68" s="110">
        <f>+H68+J68</f>
        <v>0</v>
      </c>
    </row>
    <row r="69" spans="1:11" ht="15.75" x14ac:dyDescent="0.25">
      <c r="A69" s="85"/>
      <c r="B69" s="85"/>
      <c r="C69" s="92"/>
      <c r="D69" s="85"/>
      <c r="E69" s="85"/>
      <c r="F69" s="106"/>
      <c r="G69" s="108"/>
      <c r="H69" s="110"/>
      <c r="I69" s="12" t="e">
        <f>+G69-#REF!</f>
        <v>#REF!</v>
      </c>
      <c r="J69" s="110"/>
      <c r="K69" s="110"/>
    </row>
    <row r="70" spans="1:11" ht="16.5" thickBot="1" x14ac:dyDescent="0.3">
      <c r="A70" s="85">
        <v>2</v>
      </c>
      <c r="B70" s="85">
        <v>2</v>
      </c>
      <c r="C70" s="92">
        <v>5</v>
      </c>
      <c r="D70" s="85"/>
      <c r="E70" s="85"/>
      <c r="F70" s="104" t="s">
        <v>55</v>
      </c>
      <c r="G70" s="95">
        <f>G71+G76</f>
        <v>10015311</v>
      </c>
      <c r="H70" s="96">
        <f>H73+H71</f>
        <v>792285.26</v>
      </c>
      <c r="I70" s="6" t="e">
        <f>I73+I71</f>
        <v>#REF!</v>
      </c>
      <c r="J70" s="96">
        <f>J73+J71</f>
        <v>801242.44</v>
      </c>
      <c r="K70" s="96">
        <f>K73+K71</f>
        <v>1593527.7</v>
      </c>
    </row>
    <row r="71" spans="1:11" ht="15.75" x14ac:dyDescent="0.25">
      <c r="A71" s="85">
        <v>2</v>
      </c>
      <c r="B71" s="85">
        <v>2</v>
      </c>
      <c r="C71" s="92">
        <v>5</v>
      </c>
      <c r="D71" s="85">
        <v>1</v>
      </c>
      <c r="E71" s="85"/>
      <c r="F71" s="99" t="s">
        <v>56</v>
      </c>
      <c r="G71" s="107">
        <v>9685383</v>
      </c>
      <c r="H71" s="109">
        <f>17098.97+766926.29</f>
        <v>784025.26</v>
      </c>
      <c r="I71" s="13" t="e">
        <f>+G71-#REF!</f>
        <v>#REF!</v>
      </c>
      <c r="J71" s="109">
        <f>17294.32+775688.12</f>
        <v>792982.44</v>
      </c>
      <c r="K71" s="109">
        <f>+H71+J71</f>
        <v>1577007.7</v>
      </c>
    </row>
    <row r="72" spans="1:11" ht="15.75" x14ac:dyDescent="0.25">
      <c r="A72" s="85"/>
      <c r="B72" s="85"/>
      <c r="C72" s="92"/>
      <c r="D72" s="85"/>
      <c r="E72" s="119"/>
      <c r="F72" s="106"/>
      <c r="G72" s="108"/>
      <c r="H72" s="110"/>
      <c r="I72" s="12"/>
      <c r="J72" s="110"/>
      <c r="K72" s="110"/>
    </row>
    <row r="73" spans="1:11" ht="16.5" thickBot="1" x14ac:dyDescent="0.3">
      <c r="A73" s="85">
        <v>2</v>
      </c>
      <c r="B73" s="85">
        <v>2</v>
      </c>
      <c r="C73" s="92">
        <v>5</v>
      </c>
      <c r="D73" s="85">
        <v>3</v>
      </c>
      <c r="E73" s="93"/>
      <c r="F73" s="104" t="s">
        <v>57</v>
      </c>
      <c r="G73" s="95">
        <f>G74+G75+G76</f>
        <v>329928</v>
      </c>
      <c r="H73" s="105">
        <f>H74+H75+H76</f>
        <v>8260</v>
      </c>
      <c r="I73" s="10" t="e">
        <f>I74+I75+I76</f>
        <v>#REF!</v>
      </c>
      <c r="J73" s="105">
        <f>J74+J75+J76</f>
        <v>8260</v>
      </c>
      <c r="K73" s="105">
        <f>K74+K75+K76</f>
        <v>16520</v>
      </c>
    </row>
    <row r="74" spans="1:11" ht="15.75" x14ac:dyDescent="0.25">
      <c r="A74" s="85">
        <v>2</v>
      </c>
      <c r="B74" s="85">
        <v>2</v>
      </c>
      <c r="C74" s="92">
        <v>5</v>
      </c>
      <c r="D74" s="85">
        <v>3</v>
      </c>
      <c r="E74" s="85">
        <v>2</v>
      </c>
      <c r="F74" s="99" t="s">
        <v>58</v>
      </c>
      <c r="G74" s="107"/>
      <c r="H74" s="110">
        <v>0</v>
      </c>
      <c r="I74" s="12" t="e">
        <f>+G74-#REF!</f>
        <v>#REF!</v>
      </c>
      <c r="J74" s="110">
        <v>0</v>
      </c>
      <c r="K74" s="110">
        <v>0</v>
      </c>
    </row>
    <row r="75" spans="1:11" ht="15.75" x14ac:dyDescent="0.25">
      <c r="A75" s="85">
        <v>2</v>
      </c>
      <c r="B75" s="85">
        <v>2</v>
      </c>
      <c r="C75" s="92">
        <v>5</v>
      </c>
      <c r="D75" s="85">
        <v>3</v>
      </c>
      <c r="E75" s="85">
        <v>3</v>
      </c>
      <c r="F75" s="99" t="s">
        <v>59</v>
      </c>
      <c r="G75" s="108"/>
      <c r="H75" s="110"/>
      <c r="I75" s="12" t="e">
        <f>+G75-#REF!</f>
        <v>#REF!</v>
      </c>
      <c r="J75" s="110"/>
      <c r="K75" s="110"/>
    </row>
    <row r="76" spans="1:11" ht="15.75" x14ac:dyDescent="0.25">
      <c r="A76" s="85">
        <v>2</v>
      </c>
      <c r="B76" s="85">
        <v>2</v>
      </c>
      <c r="C76" s="92">
        <v>5</v>
      </c>
      <c r="D76" s="85">
        <v>3</v>
      </c>
      <c r="E76" s="85">
        <v>4</v>
      </c>
      <c r="F76" s="99" t="s">
        <v>60</v>
      </c>
      <c r="G76" s="108">
        <v>329928</v>
      </c>
      <c r="H76" s="110">
        <v>8260</v>
      </c>
      <c r="I76" s="12" t="e">
        <f>+G76-#REF!</f>
        <v>#REF!</v>
      </c>
      <c r="J76" s="110">
        <v>8260</v>
      </c>
      <c r="K76" s="110">
        <f>+H76+J76</f>
        <v>16520</v>
      </c>
    </row>
    <row r="77" spans="1:11" ht="15.75" x14ac:dyDescent="0.25">
      <c r="A77" s="85"/>
      <c r="B77" s="85"/>
      <c r="C77" s="92"/>
      <c r="D77" s="85"/>
      <c r="E77" s="85"/>
      <c r="F77" s="99"/>
      <c r="G77" s="108"/>
      <c r="H77" s="110"/>
      <c r="I77" s="12"/>
      <c r="J77" s="110"/>
      <c r="K77" s="110"/>
    </row>
    <row r="78" spans="1:11" ht="16.5" thickBot="1" x14ac:dyDescent="0.3">
      <c r="A78" s="85"/>
      <c r="B78" s="85"/>
      <c r="C78" s="92"/>
      <c r="D78" s="85"/>
      <c r="E78" s="85"/>
      <c r="F78" s="99"/>
      <c r="G78" s="108"/>
      <c r="H78" s="110"/>
      <c r="I78" s="12"/>
      <c r="J78" s="110"/>
      <c r="K78" s="110"/>
    </row>
    <row r="79" spans="1:11" s="21" customFormat="1" ht="16.5" thickBot="1" x14ac:dyDescent="0.3">
      <c r="A79" s="85">
        <v>2</v>
      </c>
      <c r="B79" s="85">
        <v>2</v>
      </c>
      <c r="C79" s="92">
        <v>6</v>
      </c>
      <c r="D79" s="85"/>
      <c r="E79" s="85"/>
      <c r="F79" s="99" t="s">
        <v>61</v>
      </c>
      <c r="G79" s="112">
        <f>G81+G80</f>
        <v>1434252</v>
      </c>
      <c r="H79" s="113">
        <f>H81+H80</f>
        <v>108478.82</v>
      </c>
      <c r="I79" s="15" t="e">
        <f>I81+I80</f>
        <v>#REF!</v>
      </c>
      <c r="J79" s="113">
        <f>J81+J80</f>
        <v>108478.82</v>
      </c>
      <c r="K79" s="113">
        <f>K81+K80</f>
        <v>216957.64</v>
      </c>
    </row>
    <row r="80" spans="1:11" ht="16.5" thickBot="1" x14ac:dyDescent="0.3">
      <c r="A80" s="120">
        <v>2</v>
      </c>
      <c r="B80" s="120">
        <v>2</v>
      </c>
      <c r="C80" s="121">
        <v>6</v>
      </c>
      <c r="D80" s="120">
        <v>2</v>
      </c>
      <c r="E80" s="120">
        <v>1</v>
      </c>
      <c r="F80" s="122" t="s">
        <v>62</v>
      </c>
      <c r="G80" s="123">
        <v>125000</v>
      </c>
      <c r="H80" s="98"/>
      <c r="I80" s="16" t="e">
        <f>+G80-#REF!</f>
        <v>#REF!</v>
      </c>
      <c r="J80" s="98"/>
      <c r="K80" s="98"/>
    </row>
    <row r="81" spans="1:11" ht="15.75" x14ac:dyDescent="0.25">
      <c r="A81" s="85">
        <v>2</v>
      </c>
      <c r="B81" s="85">
        <v>2</v>
      </c>
      <c r="C81" s="92">
        <v>6</v>
      </c>
      <c r="D81" s="85">
        <v>3</v>
      </c>
      <c r="E81" s="85">
        <v>1</v>
      </c>
      <c r="F81" s="99" t="s">
        <v>63</v>
      </c>
      <c r="G81" s="108">
        <v>1309252</v>
      </c>
      <c r="H81" s="110">
        <v>108478.82</v>
      </c>
      <c r="I81" s="12" t="e">
        <f>+G81-#REF!</f>
        <v>#REF!</v>
      </c>
      <c r="J81" s="110">
        <v>108478.82</v>
      </c>
      <c r="K81" s="110">
        <f>+H81+J81</f>
        <v>216957.64</v>
      </c>
    </row>
    <row r="82" spans="1:11" ht="15.75" x14ac:dyDescent="0.25">
      <c r="A82" s="85"/>
      <c r="B82" s="85"/>
      <c r="C82" s="92"/>
      <c r="D82" s="85"/>
      <c r="E82" s="85"/>
      <c r="F82" s="99"/>
      <c r="G82" s="108"/>
      <c r="H82" s="110">
        <v>0</v>
      </c>
      <c r="I82" s="12">
        <v>0</v>
      </c>
      <c r="J82" s="110">
        <v>0</v>
      </c>
      <c r="K82" s="110">
        <v>0</v>
      </c>
    </row>
    <row r="83" spans="1:11" ht="15.75" x14ac:dyDescent="0.25">
      <c r="A83" s="85"/>
      <c r="B83" s="85"/>
      <c r="C83" s="92"/>
      <c r="D83" s="85"/>
      <c r="E83" s="85"/>
      <c r="F83" s="99"/>
      <c r="G83" s="108"/>
      <c r="H83" s="110"/>
      <c r="I83" s="12"/>
      <c r="J83" s="110"/>
      <c r="K83" s="110"/>
    </row>
    <row r="84" spans="1:11" ht="32.25" thickBot="1" x14ac:dyDescent="0.3">
      <c r="A84" s="85">
        <v>2</v>
      </c>
      <c r="B84" s="85">
        <v>2</v>
      </c>
      <c r="C84" s="92">
        <v>7</v>
      </c>
      <c r="D84" s="85"/>
      <c r="E84" s="93"/>
      <c r="F84" s="104" t="s">
        <v>64</v>
      </c>
      <c r="G84" s="125">
        <f>G85</f>
        <v>45117</v>
      </c>
      <c r="H84" s="96">
        <f>SUM(H87:H91)</f>
        <v>19800.52</v>
      </c>
      <c r="I84" s="6" t="e">
        <f>SUM(I86:I91)</f>
        <v>#REF!</v>
      </c>
      <c r="J84" s="96">
        <f>SUM(J87:J91)</f>
        <v>650</v>
      </c>
      <c r="K84" s="96">
        <f>SUM(K87:K91)</f>
        <v>20450.52</v>
      </c>
    </row>
    <row r="85" spans="1:11" ht="16.5" thickBot="1" x14ac:dyDescent="0.3">
      <c r="A85" s="85">
        <v>2</v>
      </c>
      <c r="B85" s="85">
        <v>2</v>
      </c>
      <c r="C85" s="92">
        <v>7</v>
      </c>
      <c r="D85" s="85">
        <v>2</v>
      </c>
      <c r="E85" s="93"/>
      <c r="F85" s="104" t="s">
        <v>65</v>
      </c>
      <c r="G85" s="112">
        <f>SUM(G87:G90)</f>
        <v>45117</v>
      </c>
      <c r="H85" s="166">
        <f>SUM(H87:H90)</f>
        <v>19800.52</v>
      </c>
      <c r="I85" s="22" t="e">
        <f>SUM(I86:I90)</f>
        <v>#REF!</v>
      </c>
      <c r="J85" s="166">
        <f>SUM(J87:J90)</f>
        <v>650</v>
      </c>
      <c r="K85" s="166">
        <f>SUM(K87:K90)</f>
        <v>20450.52</v>
      </c>
    </row>
    <row r="86" spans="1:11" ht="31.5" x14ac:dyDescent="0.25">
      <c r="A86" s="85">
        <v>2</v>
      </c>
      <c r="B86" s="85">
        <v>2</v>
      </c>
      <c r="C86" s="92">
        <v>7</v>
      </c>
      <c r="D86" s="85">
        <v>1</v>
      </c>
      <c r="E86" s="119">
        <v>2</v>
      </c>
      <c r="F86" s="126" t="s">
        <v>66</v>
      </c>
      <c r="G86" s="125"/>
      <c r="H86" s="167"/>
      <c r="I86" s="12" t="e">
        <f>+G86-#REF!</f>
        <v>#REF!</v>
      </c>
      <c r="J86" s="167"/>
      <c r="K86" s="167"/>
    </row>
    <row r="87" spans="1:11" ht="31.5" x14ac:dyDescent="0.25">
      <c r="A87" s="85">
        <v>2</v>
      </c>
      <c r="B87" s="85">
        <v>2</v>
      </c>
      <c r="C87" s="92">
        <v>7</v>
      </c>
      <c r="D87" s="85">
        <v>2</v>
      </c>
      <c r="E87" s="119">
        <v>2</v>
      </c>
      <c r="F87" s="126" t="s">
        <v>67</v>
      </c>
      <c r="G87" s="108">
        <v>9117</v>
      </c>
      <c r="H87" s="110">
        <v>0</v>
      </c>
      <c r="I87" s="12" t="e">
        <f>+G87-#REF!</f>
        <v>#REF!</v>
      </c>
      <c r="J87" s="110">
        <v>0</v>
      </c>
      <c r="K87" s="110">
        <v>0</v>
      </c>
    </row>
    <row r="88" spans="1:11" ht="31.5" x14ac:dyDescent="0.25">
      <c r="A88" s="85">
        <v>2</v>
      </c>
      <c r="B88" s="85">
        <v>2</v>
      </c>
      <c r="C88" s="92">
        <v>7</v>
      </c>
      <c r="D88" s="85">
        <v>2</v>
      </c>
      <c r="E88" s="119">
        <v>3</v>
      </c>
      <c r="F88" s="126" t="s">
        <v>68</v>
      </c>
      <c r="G88" s="108"/>
      <c r="H88" s="110">
        <f>G88*12</f>
        <v>0</v>
      </c>
      <c r="I88" s="12" t="e">
        <f>+G88-#REF!</f>
        <v>#REF!</v>
      </c>
      <c r="J88" s="110"/>
      <c r="K88" s="110"/>
    </row>
    <row r="89" spans="1:11" ht="31.5" x14ac:dyDescent="0.25">
      <c r="A89" s="85">
        <v>2</v>
      </c>
      <c r="B89" s="85">
        <v>2</v>
      </c>
      <c r="C89" s="92">
        <v>7</v>
      </c>
      <c r="D89" s="85">
        <v>2</v>
      </c>
      <c r="E89" s="119">
        <v>4</v>
      </c>
      <c r="F89" s="126" t="s">
        <v>69</v>
      </c>
      <c r="G89" s="108">
        <v>24000</v>
      </c>
      <c r="H89" s="110"/>
      <c r="I89" s="12" t="e">
        <f>+G89-#REF!</f>
        <v>#REF!</v>
      </c>
      <c r="J89" s="110"/>
      <c r="K89" s="110"/>
    </row>
    <row r="90" spans="1:11" ht="31.5" x14ac:dyDescent="0.25">
      <c r="A90" s="85">
        <v>2</v>
      </c>
      <c r="B90" s="85">
        <v>2</v>
      </c>
      <c r="C90" s="92">
        <v>7</v>
      </c>
      <c r="D90" s="85">
        <v>2</v>
      </c>
      <c r="E90" s="119">
        <v>6</v>
      </c>
      <c r="F90" s="126" t="s">
        <v>70</v>
      </c>
      <c r="G90" s="108">
        <v>12000</v>
      </c>
      <c r="H90" s="110">
        <f>9670.1+9530.42+600</f>
        <v>19800.52</v>
      </c>
      <c r="I90" s="12" t="e">
        <f>+G90-#REF!</f>
        <v>#REF!</v>
      </c>
      <c r="J90" s="110">
        <v>650</v>
      </c>
      <c r="K90" s="110">
        <f>+H90+J90</f>
        <v>20450.52</v>
      </c>
    </row>
    <row r="91" spans="1:11" ht="15.75" x14ac:dyDescent="0.25">
      <c r="A91" s="85"/>
      <c r="B91" s="85"/>
      <c r="C91" s="92"/>
      <c r="D91" s="85"/>
      <c r="E91" s="119"/>
      <c r="F91" s="106"/>
      <c r="G91" s="108"/>
      <c r="H91" s="110"/>
      <c r="I91" s="12"/>
      <c r="J91" s="110"/>
      <c r="K91" s="110"/>
    </row>
    <row r="92" spans="1:11" ht="16.5" thickBot="1" x14ac:dyDescent="0.3">
      <c r="A92" s="85">
        <v>2</v>
      </c>
      <c r="B92" s="85">
        <v>2</v>
      </c>
      <c r="C92" s="92">
        <v>8</v>
      </c>
      <c r="D92" s="85"/>
      <c r="E92" s="93"/>
      <c r="F92" s="104" t="s">
        <v>71</v>
      </c>
      <c r="G92" s="125">
        <f>SUM(G93+G94)+G96+G100</f>
        <v>4392936</v>
      </c>
      <c r="H92" s="96">
        <f>H93+H94+H96+H100</f>
        <v>256177.13999999998</v>
      </c>
      <c r="I92" s="6" t="e">
        <f>I93+I94+I96+I100</f>
        <v>#REF!</v>
      </c>
      <c r="J92" s="96">
        <f>J93+J94+J96+J100</f>
        <v>436592.42</v>
      </c>
      <c r="K92" s="96">
        <f>K93+K94+K96+K100</f>
        <v>692769.55999999994</v>
      </c>
    </row>
    <row r="93" spans="1:11" ht="15.75" x14ac:dyDescent="0.25">
      <c r="A93" s="85">
        <v>2</v>
      </c>
      <c r="B93" s="85">
        <v>2</v>
      </c>
      <c r="C93" s="92">
        <v>8</v>
      </c>
      <c r="D93" s="85">
        <v>2</v>
      </c>
      <c r="E93" s="119"/>
      <c r="F93" s="127" t="s">
        <v>72</v>
      </c>
      <c r="G93" s="107">
        <v>102000</v>
      </c>
      <c r="H93" s="109">
        <v>5155.28</v>
      </c>
      <c r="I93" s="13" t="e">
        <f>+G93-#REF!</f>
        <v>#REF!</v>
      </c>
      <c r="J93" s="109">
        <v>4982.54</v>
      </c>
      <c r="K93" s="109">
        <f>+H93+J93</f>
        <v>10137.82</v>
      </c>
    </row>
    <row r="94" spans="1:11" ht="15.75" x14ac:dyDescent="0.25">
      <c r="A94" s="85">
        <v>2</v>
      </c>
      <c r="B94" s="85">
        <v>2</v>
      </c>
      <c r="C94" s="92">
        <v>8</v>
      </c>
      <c r="D94" s="85">
        <v>4</v>
      </c>
      <c r="E94" s="85"/>
      <c r="F94" s="127" t="s">
        <v>73</v>
      </c>
      <c r="G94" s="108">
        <v>0</v>
      </c>
      <c r="H94" s="110">
        <v>0</v>
      </c>
      <c r="I94" s="12">
        <v>0</v>
      </c>
      <c r="J94" s="110">
        <v>0</v>
      </c>
      <c r="K94" s="110">
        <f>+H94+J94</f>
        <v>0</v>
      </c>
    </row>
    <row r="95" spans="1:11" ht="15.75" x14ac:dyDescent="0.25">
      <c r="A95" s="85"/>
      <c r="B95" s="85"/>
      <c r="C95" s="92"/>
      <c r="D95" s="85"/>
      <c r="E95" s="85"/>
      <c r="F95" s="127"/>
      <c r="G95" s="108"/>
      <c r="H95" s="110"/>
      <c r="I95" s="12"/>
      <c r="J95" s="110"/>
      <c r="K95" s="110"/>
    </row>
    <row r="96" spans="1:11" ht="16.5" thickBot="1" x14ac:dyDescent="0.3">
      <c r="A96" s="85">
        <v>2</v>
      </c>
      <c r="B96" s="85">
        <v>2</v>
      </c>
      <c r="C96" s="92">
        <v>8</v>
      </c>
      <c r="D96" s="85">
        <v>6</v>
      </c>
      <c r="E96" s="93"/>
      <c r="F96" s="128" t="s">
        <v>74</v>
      </c>
      <c r="G96" s="125">
        <f>G97+G98</f>
        <v>1894000</v>
      </c>
      <c r="H96" s="117">
        <f>H97+H98</f>
        <v>0</v>
      </c>
      <c r="I96" s="19" t="e">
        <f>I97+I98</f>
        <v>#REF!</v>
      </c>
      <c r="J96" s="117">
        <f>J97+J98</f>
        <v>0</v>
      </c>
      <c r="K96" s="117">
        <f>K97+K98</f>
        <v>0</v>
      </c>
    </row>
    <row r="97" spans="1:11" ht="15.75" x14ac:dyDescent="0.25">
      <c r="A97" s="85">
        <v>2</v>
      </c>
      <c r="B97" s="85">
        <v>2</v>
      </c>
      <c r="C97" s="92">
        <v>8</v>
      </c>
      <c r="D97" s="85">
        <v>6</v>
      </c>
      <c r="E97" s="85">
        <v>1</v>
      </c>
      <c r="F97" s="127" t="s">
        <v>75</v>
      </c>
      <c r="G97" s="107">
        <v>1882000</v>
      </c>
      <c r="H97" s="109">
        <v>0</v>
      </c>
      <c r="I97" s="12" t="e">
        <f>+G97-#REF!</f>
        <v>#REF!</v>
      </c>
      <c r="J97" s="109">
        <v>0</v>
      </c>
      <c r="K97" s="109">
        <f>+H97+J97</f>
        <v>0</v>
      </c>
    </row>
    <row r="98" spans="1:11" ht="15.75" x14ac:dyDescent="0.25">
      <c r="A98" s="85">
        <v>2</v>
      </c>
      <c r="B98" s="85">
        <v>2</v>
      </c>
      <c r="C98" s="92">
        <v>8</v>
      </c>
      <c r="D98" s="85">
        <v>6</v>
      </c>
      <c r="E98" s="85">
        <v>2</v>
      </c>
      <c r="F98" s="127" t="s">
        <v>76</v>
      </c>
      <c r="G98" s="108">
        <v>12000</v>
      </c>
      <c r="H98" s="110"/>
      <c r="I98" s="12" t="e">
        <f>+G98-#REF!</f>
        <v>#REF!</v>
      </c>
      <c r="J98" s="110"/>
      <c r="K98" s="110"/>
    </row>
    <row r="99" spans="1:11" ht="15.75" x14ac:dyDescent="0.25">
      <c r="A99" s="85"/>
      <c r="B99" s="85"/>
      <c r="C99" s="92"/>
      <c r="D99" s="85"/>
      <c r="E99" s="85"/>
      <c r="F99" s="127"/>
      <c r="G99" s="108"/>
      <c r="H99" s="110">
        <v>0</v>
      </c>
      <c r="I99" s="12">
        <v>0</v>
      </c>
      <c r="J99" s="110">
        <v>0</v>
      </c>
      <c r="K99" s="110">
        <v>0</v>
      </c>
    </row>
    <row r="100" spans="1:11" ht="16.5" thickBot="1" x14ac:dyDescent="0.3">
      <c r="A100" s="85">
        <v>2</v>
      </c>
      <c r="B100" s="85">
        <v>2</v>
      </c>
      <c r="C100" s="92">
        <v>8</v>
      </c>
      <c r="D100" s="85">
        <v>7</v>
      </c>
      <c r="E100" s="93"/>
      <c r="F100" s="128" t="s">
        <v>77</v>
      </c>
      <c r="G100" s="129">
        <f>G101+G102+G103+G104+G105</f>
        <v>2396936</v>
      </c>
      <c r="H100" s="118">
        <f>H101+H102+H103+H104+H105</f>
        <v>251021.86</v>
      </c>
      <c r="I100" s="6" t="e">
        <f>I101+I102+I103+I104+I105</f>
        <v>#REF!</v>
      </c>
      <c r="J100" s="118">
        <f>J101+J102+J103+J104+J105</f>
        <v>431609.88</v>
      </c>
      <c r="K100" s="118">
        <f>K101+K102+K103+K104+K105</f>
        <v>682631.74</v>
      </c>
    </row>
    <row r="101" spans="1:11" ht="15.75" x14ac:dyDescent="0.25">
      <c r="A101" s="85">
        <v>2</v>
      </c>
      <c r="B101" s="85">
        <v>2</v>
      </c>
      <c r="C101" s="92">
        <v>8</v>
      </c>
      <c r="D101" s="85">
        <v>7</v>
      </c>
      <c r="E101" s="85">
        <v>1</v>
      </c>
      <c r="F101" s="106" t="s">
        <v>78</v>
      </c>
      <c r="G101" s="108">
        <v>500000</v>
      </c>
      <c r="H101" s="110">
        <v>0</v>
      </c>
      <c r="I101" s="13" t="e">
        <f>+G101-#REF!</f>
        <v>#REF!</v>
      </c>
      <c r="J101" s="110">
        <v>0</v>
      </c>
      <c r="K101" s="110">
        <f>+H101+J101</f>
        <v>0</v>
      </c>
    </row>
    <row r="102" spans="1:11" ht="15.75" x14ac:dyDescent="0.25">
      <c r="A102" s="85">
        <v>2</v>
      </c>
      <c r="B102" s="85">
        <v>2</v>
      </c>
      <c r="C102" s="92">
        <v>8</v>
      </c>
      <c r="D102" s="85">
        <v>7</v>
      </c>
      <c r="E102" s="119">
        <v>3</v>
      </c>
      <c r="F102" s="106" t="s">
        <v>79</v>
      </c>
      <c r="G102" s="108">
        <v>300000</v>
      </c>
      <c r="H102" s="110"/>
      <c r="I102" s="24" t="e">
        <f>+G102-#REF!</f>
        <v>#REF!</v>
      </c>
      <c r="J102" s="110"/>
      <c r="K102" s="110">
        <f>+H102+J102</f>
        <v>0</v>
      </c>
    </row>
    <row r="103" spans="1:11" ht="15.75" x14ac:dyDescent="0.25">
      <c r="A103" s="85">
        <v>2</v>
      </c>
      <c r="B103" s="85">
        <v>2</v>
      </c>
      <c r="C103" s="92">
        <v>8</v>
      </c>
      <c r="D103" s="85">
        <v>7</v>
      </c>
      <c r="E103" s="85">
        <v>4</v>
      </c>
      <c r="F103" s="106" t="s">
        <v>80</v>
      </c>
      <c r="G103" s="108"/>
      <c r="H103" s="110">
        <v>10000</v>
      </c>
      <c r="I103" s="24" t="e">
        <f>+G103-#REF!</f>
        <v>#REF!</v>
      </c>
      <c r="J103" s="110"/>
      <c r="K103" s="110">
        <f>+H103+J103</f>
        <v>10000</v>
      </c>
    </row>
    <row r="104" spans="1:11" ht="31.5" x14ac:dyDescent="0.25">
      <c r="A104" s="85">
        <v>2</v>
      </c>
      <c r="B104" s="85">
        <v>2</v>
      </c>
      <c r="C104" s="92">
        <v>8</v>
      </c>
      <c r="D104" s="85">
        <v>7</v>
      </c>
      <c r="E104" s="85">
        <v>5</v>
      </c>
      <c r="F104" s="106" t="s">
        <v>81</v>
      </c>
      <c r="G104" s="108">
        <v>12000</v>
      </c>
      <c r="H104" s="110">
        <v>3233.36</v>
      </c>
      <c r="I104" s="24" t="e">
        <f>+G104-#REF!</f>
        <v>#REF!</v>
      </c>
      <c r="J104" s="110"/>
      <c r="K104" s="110">
        <f>+H104+J104</f>
        <v>3233.36</v>
      </c>
    </row>
    <row r="105" spans="1:11" ht="15.75" x14ac:dyDescent="0.25">
      <c r="A105" s="85">
        <v>2</v>
      </c>
      <c r="B105" s="85">
        <v>2</v>
      </c>
      <c r="C105" s="92">
        <v>8</v>
      </c>
      <c r="D105" s="85">
        <v>7</v>
      </c>
      <c r="E105" s="85">
        <v>6</v>
      </c>
      <c r="F105" s="106" t="s">
        <v>82</v>
      </c>
      <c r="G105" s="108">
        <v>1584936</v>
      </c>
      <c r="H105" s="110">
        <f>38200+11800+43563+144225.5</f>
        <v>237788.5</v>
      </c>
      <c r="I105" s="24" t="e">
        <f>+G105-#REF!</f>
        <v>#REF!</v>
      </c>
      <c r="J105" s="110">
        <f>12000+21240+177541.38+11800+144225.5+43563+21240</f>
        <v>431609.88</v>
      </c>
      <c r="K105" s="110">
        <f>+H105+J105</f>
        <v>669398.38</v>
      </c>
    </row>
    <row r="106" spans="1:11" ht="16.5" thickBot="1" x14ac:dyDescent="0.3">
      <c r="A106" s="85"/>
      <c r="B106" s="85"/>
      <c r="C106" s="92"/>
      <c r="D106" s="85"/>
      <c r="E106" s="85"/>
      <c r="F106" s="106"/>
      <c r="G106" s="111"/>
      <c r="H106" s="117"/>
      <c r="I106" s="19"/>
      <c r="J106" s="117"/>
      <c r="K106" s="117"/>
    </row>
    <row r="107" spans="1:11" ht="16.5" thickBot="1" x14ac:dyDescent="0.3">
      <c r="A107" s="85">
        <v>2</v>
      </c>
      <c r="B107" s="85">
        <v>2</v>
      </c>
      <c r="C107" s="92">
        <v>9</v>
      </c>
      <c r="D107" s="85"/>
      <c r="E107" s="85"/>
      <c r="F107" s="104" t="s">
        <v>83</v>
      </c>
      <c r="G107" s="100">
        <f>G108+G109</f>
        <v>12000</v>
      </c>
      <c r="H107" s="168">
        <f>H108+H109</f>
        <v>33893.49</v>
      </c>
      <c r="I107" s="25" t="e">
        <f>I108+I109</f>
        <v>#REF!</v>
      </c>
      <c r="J107" s="168">
        <f>J108+J109</f>
        <v>47097.1</v>
      </c>
      <c r="K107" s="168">
        <f>K108+K109</f>
        <v>80990.59</v>
      </c>
    </row>
    <row r="108" spans="1:11" ht="16.5" thickBot="1" x14ac:dyDescent="0.3">
      <c r="A108" s="85">
        <v>2</v>
      </c>
      <c r="B108" s="85">
        <v>2</v>
      </c>
      <c r="C108" s="92">
        <v>9</v>
      </c>
      <c r="D108" s="85">
        <v>2</v>
      </c>
      <c r="E108" s="85"/>
      <c r="F108" s="127" t="s">
        <v>84</v>
      </c>
      <c r="G108" s="97"/>
      <c r="H108" s="130"/>
      <c r="I108" s="26" t="e">
        <f>+G108-#REF!</f>
        <v>#REF!</v>
      </c>
      <c r="J108" s="130"/>
      <c r="K108" s="130"/>
    </row>
    <row r="109" spans="1:11" ht="15.75" x14ac:dyDescent="0.25">
      <c r="A109" s="85">
        <v>2</v>
      </c>
      <c r="B109" s="85">
        <v>2</v>
      </c>
      <c r="C109" s="92">
        <v>9</v>
      </c>
      <c r="D109" s="85">
        <v>2</v>
      </c>
      <c r="E109" s="85">
        <v>1</v>
      </c>
      <c r="F109" s="106" t="s">
        <v>84</v>
      </c>
      <c r="G109" s="108">
        <v>12000</v>
      </c>
      <c r="H109" s="110">
        <f>2066.99+300+175+300+275+175+300+300+30001.5</f>
        <v>33893.49</v>
      </c>
      <c r="I109" s="12" t="e">
        <f>+G109-#REF!</f>
        <v>#REF!</v>
      </c>
      <c r="J109" s="110">
        <f>300+175+145+791.7+400+470+750+475+400+100+265+12823.9+30001.5</f>
        <v>47097.1</v>
      </c>
      <c r="K109" s="110">
        <f>+H109+J109</f>
        <v>80990.59</v>
      </c>
    </row>
    <row r="110" spans="1:11" ht="15.75" x14ac:dyDescent="0.25">
      <c r="A110" s="85"/>
      <c r="B110" s="85"/>
      <c r="C110" s="92"/>
      <c r="D110" s="85"/>
      <c r="E110" s="85"/>
      <c r="F110" s="106"/>
      <c r="G110" s="108"/>
      <c r="H110" s="110"/>
      <c r="I110" s="12"/>
      <c r="J110" s="110"/>
      <c r="K110" s="110"/>
    </row>
    <row r="111" spans="1:11" ht="16.5" thickBot="1" x14ac:dyDescent="0.3">
      <c r="A111" s="85">
        <v>2</v>
      </c>
      <c r="B111" s="85">
        <v>3</v>
      </c>
      <c r="C111" s="92"/>
      <c r="D111" s="85"/>
      <c r="E111" s="93"/>
      <c r="F111" s="104" t="s">
        <v>85</v>
      </c>
      <c r="G111" s="95">
        <f>G112+G116+G119+G125+G129+G137</f>
        <v>729304</v>
      </c>
      <c r="H111" s="165">
        <f>H112+H116+H119+H125+H129+H137</f>
        <v>85512.01</v>
      </c>
      <c r="I111" s="165" t="e">
        <f>I112+I116+I119+I125+I129+I137</f>
        <v>#REF!</v>
      </c>
      <c r="J111" s="165">
        <f>J112+J116+J119+J125+J129+J137</f>
        <v>77786.3</v>
      </c>
      <c r="K111" s="165">
        <f>K112+K116+K119+K125+K129+K137</f>
        <v>163298.31</v>
      </c>
    </row>
    <row r="112" spans="1:11" ht="16.5" thickBot="1" x14ac:dyDescent="0.3">
      <c r="A112" s="85">
        <v>2</v>
      </c>
      <c r="B112" s="85">
        <v>3</v>
      </c>
      <c r="C112" s="92">
        <v>1</v>
      </c>
      <c r="D112" s="85"/>
      <c r="E112" s="93"/>
      <c r="F112" s="131" t="s">
        <v>86</v>
      </c>
      <c r="G112" s="112">
        <f>G113</f>
        <v>0</v>
      </c>
      <c r="H112" s="113">
        <f>H113</f>
        <v>0</v>
      </c>
      <c r="I112" s="15">
        <f>I113</f>
        <v>0</v>
      </c>
      <c r="J112" s="113">
        <f>J113</f>
        <v>0</v>
      </c>
      <c r="K112" s="113">
        <f>K113</f>
        <v>0</v>
      </c>
    </row>
    <row r="113" spans="1:11" ht="15.75" x14ac:dyDescent="0.25">
      <c r="A113" s="85">
        <v>2</v>
      </c>
      <c r="B113" s="85">
        <v>3</v>
      </c>
      <c r="C113" s="92">
        <v>1</v>
      </c>
      <c r="D113" s="85">
        <v>1</v>
      </c>
      <c r="E113" s="93"/>
      <c r="F113" s="132" t="s">
        <v>87</v>
      </c>
      <c r="G113" s="108">
        <f>G114</f>
        <v>0</v>
      </c>
      <c r="H113" s="103"/>
      <c r="I113" s="9"/>
      <c r="J113" s="103"/>
      <c r="K113" s="103">
        <f>+H113+J113</f>
        <v>0</v>
      </c>
    </row>
    <row r="114" spans="1:11" ht="12" customHeight="1" x14ac:dyDescent="0.25">
      <c r="A114" s="85">
        <v>2</v>
      </c>
      <c r="B114" s="85">
        <v>3</v>
      </c>
      <c r="C114" s="92">
        <v>1</v>
      </c>
      <c r="D114" s="85">
        <v>1</v>
      </c>
      <c r="E114" s="93">
        <v>1</v>
      </c>
      <c r="F114" s="132" t="s">
        <v>87</v>
      </c>
      <c r="G114" s="108"/>
      <c r="H114" s="110">
        <v>0</v>
      </c>
      <c r="I114" s="12">
        <v>0</v>
      </c>
      <c r="J114" s="110">
        <v>0</v>
      </c>
      <c r="K114" s="110">
        <v>0</v>
      </c>
    </row>
    <row r="115" spans="1:11" ht="12" customHeight="1" x14ac:dyDescent="0.25">
      <c r="A115" s="85"/>
      <c r="B115" s="85"/>
      <c r="C115" s="92"/>
      <c r="D115" s="85"/>
      <c r="E115" s="93"/>
      <c r="F115" s="131"/>
      <c r="G115" s="108"/>
      <c r="H115" s="110"/>
      <c r="I115" s="12"/>
      <c r="J115" s="110"/>
      <c r="K115" s="110"/>
    </row>
    <row r="116" spans="1:11" ht="12" customHeight="1" thickBot="1" x14ac:dyDescent="0.3">
      <c r="A116" s="85">
        <v>2</v>
      </c>
      <c r="B116" s="85">
        <v>3</v>
      </c>
      <c r="C116" s="92">
        <v>2</v>
      </c>
      <c r="D116" s="85"/>
      <c r="E116" s="93"/>
      <c r="F116" s="131" t="s">
        <v>88</v>
      </c>
      <c r="G116" s="108"/>
      <c r="H116" s="110">
        <f>H117</f>
        <v>0</v>
      </c>
      <c r="I116" s="12">
        <f>I117</f>
        <v>0</v>
      </c>
      <c r="J116" s="110">
        <f>J117</f>
        <v>0</v>
      </c>
      <c r="K116" s="110">
        <f>K117</f>
        <v>0</v>
      </c>
    </row>
    <row r="117" spans="1:11" ht="12" customHeight="1" x14ac:dyDescent="0.25">
      <c r="A117" s="85">
        <v>2</v>
      </c>
      <c r="B117" s="85">
        <v>3</v>
      </c>
      <c r="C117" s="92">
        <v>2</v>
      </c>
      <c r="D117" s="85">
        <v>3</v>
      </c>
      <c r="E117" s="93"/>
      <c r="F117" s="132" t="s">
        <v>89</v>
      </c>
      <c r="G117" s="107"/>
      <c r="H117" s="109">
        <v>0</v>
      </c>
      <c r="I117" s="13">
        <v>0</v>
      </c>
      <c r="J117" s="109">
        <v>0</v>
      </c>
      <c r="K117" s="109">
        <v>0</v>
      </c>
    </row>
    <row r="118" spans="1:11" s="17" customFormat="1" ht="15.75" x14ac:dyDescent="0.25">
      <c r="A118" s="85"/>
      <c r="B118" s="85"/>
      <c r="C118" s="92"/>
      <c r="D118" s="85"/>
      <c r="E118" s="93"/>
      <c r="F118" s="131"/>
      <c r="G118" s="108"/>
      <c r="H118" s="103"/>
      <c r="I118" s="9"/>
      <c r="J118" s="103"/>
      <c r="K118" s="103"/>
    </row>
    <row r="119" spans="1:11" ht="16.5" thickBot="1" x14ac:dyDescent="0.3">
      <c r="A119" s="85">
        <v>2</v>
      </c>
      <c r="B119" s="115">
        <v>3</v>
      </c>
      <c r="C119" s="116">
        <v>3</v>
      </c>
      <c r="D119" s="93"/>
      <c r="E119" s="93"/>
      <c r="F119" s="104" t="s">
        <v>90</v>
      </c>
      <c r="G119" s="95">
        <f>G120+G121+G122+G123</f>
        <v>101500</v>
      </c>
      <c r="H119" s="105">
        <f>H120+H121+H122+H123</f>
        <v>0</v>
      </c>
      <c r="I119" s="10" t="e">
        <f>I120+I121+I122+I123</f>
        <v>#REF!</v>
      </c>
      <c r="J119" s="105">
        <f>J120+J121+J122+J123</f>
        <v>708</v>
      </c>
      <c r="K119" s="105">
        <f>K120+K121+K122+K123</f>
        <v>708</v>
      </c>
    </row>
    <row r="120" spans="1:11" ht="15.75" x14ac:dyDescent="0.25">
      <c r="A120" s="85">
        <v>2</v>
      </c>
      <c r="B120" s="85">
        <v>3</v>
      </c>
      <c r="C120" s="92">
        <v>3</v>
      </c>
      <c r="D120" s="85">
        <v>1</v>
      </c>
      <c r="E120" s="85"/>
      <c r="F120" s="127" t="s">
        <v>91</v>
      </c>
      <c r="G120" s="107">
        <v>68000</v>
      </c>
      <c r="H120" s="109"/>
      <c r="I120" s="12" t="e">
        <f>+G120-#REF!</f>
        <v>#REF!</v>
      </c>
      <c r="J120" s="109"/>
      <c r="K120" s="109"/>
    </row>
    <row r="121" spans="1:11" ht="15.75" x14ac:dyDescent="0.25">
      <c r="A121" s="85">
        <v>2</v>
      </c>
      <c r="B121" s="85">
        <v>3</v>
      </c>
      <c r="C121" s="92">
        <v>3</v>
      </c>
      <c r="D121" s="85">
        <v>2</v>
      </c>
      <c r="E121" s="85"/>
      <c r="F121" s="127" t="s">
        <v>92</v>
      </c>
      <c r="G121" s="108">
        <v>23000</v>
      </c>
      <c r="H121" s="110">
        <v>0</v>
      </c>
      <c r="I121" s="12" t="e">
        <f>+G121-#REF!</f>
        <v>#REF!</v>
      </c>
      <c r="J121" s="110">
        <v>0</v>
      </c>
      <c r="K121" s="110">
        <f>+H121+J121</f>
        <v>0</v>
      </c>
    </row>
    <row r="122" spans="1:11" ht="15.75" x14ac:dyDescent="0.25">
      <c r="A122" s="85">
        <v>2</v>
      </c>
      <c r="B122" s="85">
        <v>3</v>
      </c>
      <c r="C122" s="92">
        <v>3</v>
      </c>
      <c r="D122" s="85">
        <v>3</v>
      </c>
      <c r="E122" s="85"/>
      <c r="F122" s="127" t="s">
        <v>93</v>
      </c>
      <c r="G122" s="108">
        <v>0</v>
      </c>
      <c r="H122" s="110">
        <v>0</v>
      </c>
      <c r="I122" s="12">
        <v>0</v>
      </c>
      <c r="J122" s="110">
        <v>708</v>
      </c>
      <c r="K122" s="110">
        <f>+H122+J122</f>
        <v>708</v>
      </c>
    </row>
    <row r="123" spans="1:11" ht="15.75" x14ac:dyDescent="0.25">
      <c r="A123" s="85">
        <v>2</v>
      </c>
      <c r="B123" s="85">
        <v>3</v>
      </c>
      <c r="C123" s="92">
        <v>3</v>
      </c>
      <c r="D123" s="85">
        <v>4</v>
      </c>
      <c r="E123" s="85"/>
      <c r="F123" s="127" t="s">
        <v>94</v>
      </c>
      <c r="G123" s="108">
        <v>10500</v>
      </c>
      <c r="H123" s="110"/>
      <c r="I123" s="12" t="e">
        <f>+G123-#REF!</f>
        <v>#REF!</v>
      </c>
      <c r="J123" s="110"/>
      <c r="K123" s="110"/>
    </row>
    <row r="124" spans="1:11" s="28" customFormat="1" ht="16.5" thickBot="1" x14ac:dyDescent="0.3">
      <c r="A124" s="85"/>
      <c r="B124" s="85"/>
      <c r="C124" s="92"/>
      <c r="D124" s="85"/>
      <c r="E124" s="85"/>
      <c r="F124" s="127"/>
      <c r="G124" s="108"/>
      <c r="H124" s="110"/>
      <c r="I124" s="12"/>
      <c r="J124" s="110"/>
      <c r="K124" s="110"/>
    </row>
    <row r="125" spans="1:11" s="28" customFormat="1" ht="32.25" thickBot="1" x14ac:dyDescent="0.3">
      <c r="A125" s="93">
        <v>2</v>
      </c>
      <c r="B125" s="93">
        <v>3</v>
      </c>
      <c r="C125" s="133">
        <v>7</v>
      </c>
      <c r="D125" s="93"/>
      <c r="E125" s="93"/>
      <c r="F125" s="128" t="s">
        <v>95</v>
      </c>
      <c r="G125" s="95">
        <f t="shared" ref="G125:K126" si="0">G126</f>
        <v>300000</v>
      </c>
      <c r="H125" s="117">
        <f t="shared" si="0"/>
        <v>0</v>
      </c>
      <c r="I125" s="16" t="e">
        <f t="shared" si="0"/>
        <v>#REF!</v>
      </c>
      <c r="J125" s="117">
        <f t="shared" si="0"/>
        <v>0</v>
      </c>
      <c r="K125" s="117">
        <f t="shared" si="0"/>
        <v>0</v>
      </c>
    </row>
    <row r="126" spans="1:11" s="29" customFormat="1" ht="16.5" thickBot="1" x14ac:dyDescent="0.3">
      <c r="A126" s="93">
        <v>2</v>
      </c>
      <c r="B126" s="93">
        <v>3</v>
      </c>
      <c r="C126" s="133">
        <v>7</v>
      </c>
      <c r="D126" s="93">
        <v>1</v>
      </c>
      <c r="E126" s="93"/>
      <c r="F126" s="128" t="s">
        <v>96</v>
      </c>
      <c r="G126" s="95">
        <f t="shared" si="0"/>
        <v>300000</v>
      </c>
      <c r="H126" s="98">
        <f t="shared" si="0"/>
        <v>0</v>
      </c>
      <c r="I126" s="16" t="e">
        <f>I127</f>
        <v>#REF!</v>
      </c>
      <c r="J126" s="98">
        <f t="shared" si="0"/>
        <v>0</v>
      </c>
      <c r="K126" s="98">
        <f t="shared" si="0"/>
        <v>0</v>
      </c>
    </row>
    <row r="127" spans="1:11" ht="15.75" x14ac:dyDescent="0.25">
      <c r="A127" s="119">
        <v>2</v>
      </c>
      <c r="B127" s="119">
        <v>3</v>
      </c>
      <c r="C127" s="134">
        <v>7</v>
      </c>
      <c r="D127" s="119">
        <v>1</v>
      </c>
      <c r="E127" s="119">
        <v>1</v>
      </c>
      <c r="F127" s="106" t="s">
        <v>97</v>
      </c>
      <c r="G127" s="108">
        <v>300000</v>
      </c>
      <c r="H127" s="109"/>
      <c r="I127" s="13" t="e">
        <f>+G127-#REF!</f>
        <v>#REF!</v>
      </c>
      <c r="J127" s="109"/>
      <c r="K127" s="109"/>
    </row>
    <row r="128" spans="1:11" ht="15.75" x14ac:dyDescent="0.25">
      <c r="A128" s="85"/>
      <c r="B128" s="85"/>
      <c r="C128" s="92"/>
      <c r="D128" s="85"/>
      <c r="E128" s="85"/>
      <c r="F128" s="106"/>
      <c r="G128" s="108"/>
      <c r="H128" s="110"/>
      <c r="I128" s="12"/>
      <c r="J128" s="110"/>
      <c r="K128" s="110"/>
    </row>
    <row r="129" spans="1:11" ht="16.5" thickBot="1" x14ac:dyDescent="0.3">
      <c r="A129" s="85">
        <v>2</v>
      </c>
      <c r="B129" s="85">
        <v>3</v>
      </c>
      <c r="C129" s="92">
        <v>9</v>
      </c>
      <c r="D129" s="85"/>
      <c r="E129" s="93"/>
      <c r="F129" s="104" t="s">
        <v>98</v>
      </c>
      <c r="G129" s="129">
        <f>SUM(G130:G134)</f>
        <v>327804</v>
      </c>
      <c r="H129" s="129">
        <f>SUM(H130:H134)</f>
        <v>85512.01</v>
      </c>
      <c r="I129" s="129" t="e">
        <f>SUM(I130:I134)</f>
        <v>#REF!</v>
      </c>
      <c r="J129" s="180">
        <f>SUM(J130:J134)</f>
        <v>77078.3</v>
      </c>
      <c r="K129" s="180">
        <f>SUM(K130:K134)</f>
        <v>162590.31</v>
      </c>
    </row>
    <row r="130" spans="1:11" ht="15.75" x14ac:dyDescent="0.25">
      <c r="A130" s="85">
        <v>2</v>
      </c>
      <c r="B130" s="85">
        <v>3</v>
      </c>
      <c r="C130" s="92">
        <v>9</v>
      </c>
      <c r="D130" s="85">
        <v>1</v>
      </c>
      <c r="E130" s="85"/>
      <c r="F130" s="106" t="s">
        <v>99</v>
      </c>
      <c r="G130" s="107">
        <v>8000</v>
      </c>
      <c r="H130" s="110"/>
      <c r="I130" s="12" t="e">
        <f>+G130-#REF!</f>
        <v>#REF!</v>
      </c>
      <c r="J130" s="110">
        <v>50</v>
      </c>
      <c r="K130" s="110">
        <f>+H130+J130</f>
        <v>50</v>
      </c>
    </row>
    <row r="131" spans="1:11" ht="31.5" x14ac:dyDescent="0.25">
      <c r="A131" s="85">
        <v>2</v>
      </c>
      <c r="B131" s="85">
        <v>3</v>
      </c>
      <c r="C131" s="92">
        <v>9</v>
      </c>
      <c r="D131" s="85">
        <v>2</v>
      </c>
      <c r="E131" s="85"/>
      <c r="F131" s="106" t="s">
        <v>100</v>
      </c>
      <c r="G131" s="108">
        <v>195000</v>
      </c>
      <c r="H131" s="110">
        <v>79914.009999999995</v>
      </c>
      <c r="I131" s="12" t="e">
        <f>+G131-#REF!</f>
        <v>#REF!</v>
      </c>
      <c r="J131" s="110">
        <f>22495.78+8966.17+9109.6</f>
        <v>40571.549999999996</v>
      </c>
      <c r="K131" s="110">
        <f>+H131+J131</f>
        <v>120485.56</v>
      </c>
    </row>
    <row r="132" spans="1:11" ht="15.75" x14ac:dyDescent="0.25">
      <c r="A132" s="85">
        <v>2</v>
      </c>
      <c r="B132" s="119">
        <v>3</v>
      </c>
      <c r="C132" s="119">
        <v>9</v>
      </c>
      <c r="D132" s="85">
        <v>5</v>
      </c>
      <c r="E132" s="85"/>
      <c r="F132" s="135" t="s">
        <v>101</v>
      </c>
      <c r="G132" s="108">
        <v>10000</v>
      </c>
      <c r="H132" s="110"/>
      <c r="I132" s="12" t="e">
        <f>+G132-#REF!</f>
        <v>#REF!</v>
      </c>
      <c r="J132" s="110">
        <f>258.9+29108.9</f>
        <v>29367.800000000003</v>
      </c>
      <c r="K132" s="110">
        <f>+H132+J132</f>
        <v>29367.800000000003</v>
      </c>
    </row>
    <row r="133" spans="1:11" ht="15.75" x14ac:dyDescent="0.25">
      <c r="A133" s="85">
        <v>2</v>
      </c>
      <c r="B133" s="85">
        <v>3</v>
      </c>
      <c r="C133" s="92">
        <v>9</v>
      </c>
      <c r="D133" s="85">
        <v>8</v>
      </c>
      <c r="E133" s="85"/>
      <c r="F133" s="132" t="s">
        <v>102</v>
      </c>
      <c r="G133" s="108">
        <v>20000</v>
      </c>
      <c r="H133" s="110">
        <v>2600</v>
      </c>
      <c r="I133" s="12" t="e">
        <f>+G133-#REF!</f>
        <v>#REF!</v>
      </c>
      <c r="J133" s="110"/>
      <c r="K133" s="110">
        <f>+H133+J133</f>
        <v>2600</v>
      </c>
    </row>
    <row r="134" spans="1:11" ht="15.75" x14ac:dyDescent="0.25">
      <c r="A134" s="85">
        <v>2</v>
      </c>
      <c r="B134" s="85">
        <v>3</v>
      </c>
      <c r="C134" s="92">
        <v>9</v>
      </c>
      <c r="D134" s="85">
        <v>9</v>
      </c>
      <c r="E134" s="85"/>
      <c r="F134" s="132" t="s">
        <v>103</v>
      </c>
      <c r="G134" s="108">
        <v>94804</v>
      </c>
      <c r="H134" s="110">
        <f>100+100+100+100+100+195+1200+1103</f>
        <v>2998</v>
      </c>
      <c r="I134" s="12" t="e">
        <f>+G134-#REF!</f>
        <v>#REF!</v>
      </c>
      <c r="J134" s="110">
        <f>6830+258.95</f>
        <v>7088.95</v>
      </c>
      <c r="K134" s="110">
        <f>+H134+J134</f>
        <v>10086.950000000001</v>
      </c>
    </row>
    <row r="135" spans="1:11" ht="15.75" x14ac:dyDescent="0.25">
      <c r="A135" s="85">
        <v>2</v>
      </c>
      <c r="B135" s="85">
        <v>3</v>
      </c>
      <c r="C135" s="92">
        <v>9</v>
      </c>
      <c r="D135" s="85">
        <v>9</v>
      </c>
      <c r="E135" s="85">
        <v>2</v>
      </c>
      <c r="F135" s="132" t="s">
        <v>104</v>
      </c>
      <c r="G135" s="108"/>
      <c r="H135" s="110">
        <v>0</v>
      </c>
      <c r="I135" s="12">
        <v>0</v>
      </c>
      <c r="J135" s="110">
        <v>0</v>
      </c>
      <c r="K135" s="110">
        <v>0</v>
      </c>
    </row>
    <row r="136" spans="1:11" ht="15.75" x14ac:dyDescent="0.25">
      <c r="A136" s="85"/>
      <c r="B136" s="85"/>
      <c r="C136" s="92"/>
      <c r="D136" s="85"/>
      <c r="E136" s="85"/>
      <c r="F136" s="106"/>
      <c r="G136" s="108"/>
      <c r="H136" s="110"/>
      <c r="I136" s="12"/>
      <c r="J136" s="110"/>
      <c r="K136" s="110"/>
    </row>
    <row r="137" spans="1:11" ht="16.5" thickBot="1" x14ac:dyDescent="0.3">
      <c r="A137" s="85">
        <v>2</v>
      </c>
      <c r="B137" s="85">
        <v>6</v>
      </c>
      <c r="C137" s="92"/>
      <c r="D137" s="85"/>
      <c r="E137" s="93"/>
      <c r="F137" s="104" t="s">
        <v>105</v>
      </c>
      <c r="G137" s="96">
        <f>G138+G146+G150</f>
        <v>0</v>
      </c>
      <c r="H137" s="96">
        <f>H138+H146+H150</f>
        <v>0</v>
      </c>
      <c r="I137" s="6" t="e">
        <f>I138+I146+I150+I139</f>
        <v>#REF!</v>
      </c>
      <c r="J137" s="96">
        <f>J138+J146+J150</f>
        <v>0</v>
      </c>
      <c r="K137" s="96">
        <f>K138+K146+K150</f>
        <v>0</v>
      </c>
    </row>
    <row r="138" spans="1:11" ht="16.5" thickBot="1" x14ac:dyDescent="0.3">
      <c r="A138" s="85">
        <v>2</v>
      </c>
      <c r="B138" s="85">
        <v>6</v>
      </c>
      <c r="C138" s="92">
        <v>1</v>
      </c>
      <c r="D138" s="85"/>
      <c r="E138" s="119"/>
      <c r="F138" s="128" t="s">
        <v>106</v>
      </c>
      <c r="G138" s="97">
        <f>G140+G141+G142+G144+G145</f>
        <v>0</v>
      </c>
      <c r="H138" s="169">
        <f>+H139+H140+H141+H142+H143+H144</f>
        <v>0</v>
      </c>
      <c r="I138" s="7">
        <f>I140+I141+I142+I144+I145</f>
        <v>0</v>
      </c>
      <c r="J138" s="169">
        <f>+J139+J140+J141+J142+J143+J144</f>
        <v>0</v>
      </c>
      <c r="K138" s="169">
        <f>+K139+K140+K141+K142+K143+K144</f>
        <v>0</v>
      </c>
    </row>
    <row r="139" spans="1:11" ht="16.5" thickBot="1" x14ac:dyDescent="0.3">
      <c r="A139" s="85">
        <v>2</v>
      </c>
      <c r="B139" s="85">
        <v>6</v>
      </c>
      <c r="C139" s="92">
        <v>8</v>
      </c>
      <c r="D139" s="85">
        <v>8</v>
      </c>
      <c r="E139" s="119"/>
      <c r="F139" s="136" t="s">
        <v>107</v>
      </c>
      <c r="G139" s="108">
        <f>G141+G142+G143+G145+G146</f>
        <v>0</v>
      </c>
      <c r="H139" s="124">
        <f>H141+H142+H143+H145+H146</f>
        <v>0</v>
      </c>
      <c r="I139" s="7" t="e">
        <f>+G139-#REF!</f>
        <v>#REF!</v>
      </c>
      <c r="J139" s="124">
        <f>J141+J142+J143+J145+J146</f>
        <v>0</v>
      </c>
      <c r="K139" s="124">
        <f>+H139+J139</f>
        <v>0</v>
      </c>
    </row>
    <row r="140" spans="1:11" ht="15.75" x14ac:dyDescent="0.25">
      <c r="A140" s="85">
        <v>2</v>
      </c>
      <c r="B140" s="85">
        <v>6</v>
      </c>
      <c r="C140" s="92">
        <v>1</v>
      </c>
      <c r="D140" s="85">
        <v>1</v>
      </c>
      <c r="E140" s="119"/>
      <c r="F140" s="127" t="s">
        <v>108</v>
      </c>
      <c r="G140" s="108"/>
      <c r="H140" s="110"/>
      <c r="I140" s="13"/>
      <c r="J140" s="110"/>
      <c r="K140" s="110">
        <f>+H140+J140</f>
        <v>0</v>
      </c>
    </row>
    <row r="141" spans="1:11" ht="15.75" x14ac:dyDescent="0.25">
      <c r="A141" s="85">
        <v>2</v>
      </c>
      <c r="B141" s="85">
        <v>6</v>
      </c>
      <c r="C141" s="92">
        <v>1</v>
      </c>
      <c r="D141" s="85">
        <v>4</v>
      </c>
      <c r="E141" s="119"/>
      <c r="F141" s="127" t="s">
        <v>109</v>
      </c>
      <c r="G141" s="108"/>
      <c r="H141" s="110"/>
      <c r="I141" s="12"/>
      <c r="J141" s="110"/>
      <c r="K141" s="110">
        <f>+H141+J141</f>
        <v>0</v>
      </c>
    </row>
    <row r="142" spans="1:11" ht="15.75" x14ac:dyDescent="0.25">
      <c r="A142" s="85">
        <v>2</v>
      </c>
      <c r="B142" s="85">
        <v>6</v>
      </c>
      <c r="C142" s="92">
        <v>1</v>
      </c>
      <c r="D142" s="85">
        <v>7</v>
      </c>
      <c r="E142" s="119"/>
      <c r="F142" s="127" t="s">
        <v>110</v>
      </c>
      <c r="G142" s="108"/>
      <c r="H142" s="110">
        <v>0</v>
      </c>
      <c r="I142" s="12">
        <v>0</v>
      </c>
      <c r="J142" s="110">
        <v>0</v>
      </c>
      <c r="K142" s="110">
        <f>+H142+J142</f>
        <v>0</v>
      </c>
    </row>
    <row r="143" spans="1:11" ht="15.75" x14ac:dyDescent="0.25">
      <c r="A143" s="85">
        <v>2</v>
      </c>
      <c r="B143" s="85">
        <v>6</v>
      </c>
      <c r="C143" s="92">
        <v>1</v>
      </c>
      <c r="D143" s="85">
        <v>8</v>
      </c>
      <c r="E143" s="119"/>
      <c r="F143" s="127" t="s">
        <v>111</v>
      </c>
      <c r="G143" s="108"/>
      <c r="H143" s="110"/>
      <c r="I143" s="12"/>
      <c r="J143" s="110"/>
      <c r="K143" s="110"/>
    </row>
    <row r="144" spans="1:11" ht="24.75" customHeight="1" x14ac:dyDescent="0.25">
      <c r="A144" s="85">
        <v>2</v>
      </c>
      <c r="B144" s="85">
        <v>6</v>
      </c>
      <c r="C144" s="92">
        <v>1</v>
      </c>
      <c r="D144" s="85">
        <v>9</v>
      </c>
      <c r="E144" s="119"/>
      <c r="F144" s="127" t="s">
        <v>112</v>
      </c>
      <c r="G144" s="108"/>
      <c r="H144" s="110"/>
      <c r="I144" s="12"/>
      <c r="J144" s="110"/>
      <c r="K144" s="110"/>
    </row>
    <row r="145" spans="1:23" ht="15.75" x14ac:dyDescent="0.25">
      <c r="A145" s="85"/>
      <c r="B145" s="85"/>
      <c r="C145" s="92"/>
      <c r="D145" s="85"/>
      <c r="E145" s="93"/>
      <c r="F145" s="128"/>
      <c r="G145" s="125"/>
      <c r="H145" s="96"/>
      <c r="I145" s="6">
        <f>+G145</f>
        <v>0</v>
      </c>
      <c r="J145" s="96"/>
      <c r="K145" s="96"/>
    </row>
    <row r="146" spans="1:23" ht="32.25" thickBot="1" x14ac:dyDescent="0.3">
      <c r="A146" s="85">
        <v>2</v>
      </c>
      <c r="B146" s="85">
        <v>6</v>
      </c>
      <c r="C146" s="92">
        <v>2</v>
      </c>
      <c r="D146" s="85"/>
      <c r="E146" s="93"/>
      <c r="F146" s="128" t="s">
        <v>113</v>
      </c>
      <c r="G146" s="95">
        <f>G147+G148</f>
        <v>0</v>
      </c>
      <c r="H146" s="117">
        <f>H147+H148</f>
        <v>0</v>
      </c>
      <c r="I146" s="19" t="e">
        <f>I147+I148</f>
        <v>#REF!</v>
      </c>
      <c r="J146" s="117">
        <f>J147+J148</f>
        <v>0</v>
      </c>
      <c r="K146" s="117">
        <f>K147+K148</f>
        <v>0</v>
      </c>
    </row>
    <row r="147" spans="1:23" ht="15.75" x14ac:dyDescent="0.25">
      <c r="A147" s="85">
        <v>2</v>
      </c>
      <c r="B147" s="85">
        <v>6</v>
      </c>
      <c r="C147" s="92">
        <v>2</v>
      </c>
      <c r="D147" s="85">
        <v>1</v>
      </c>
      <c r="E147" s="119"/>
      <c r="F147" s="106" t="s">
        <v>114</v>
      </c>
      <c r="G147" s="108"/>
      <c r="H147" s="110">
        <v>0</v>
      </c>
      <c r="I147" s="12">
        <v>0</v>
      </c>
      <c r="J147" s="110">
        <v>0</v>
      </c>
      <c r="K147" s="110">
        <f>+H147+J147</f>
        <v>0</v>
      </c>
    </row>
    <row r="148" spans="1:23" ht="15.75" x14ac:dyDescent="0.25">
      <c r="A148" s="85">
        <v>2</v>
      </c>
      <c r="B148" s="85">
        <v>6</v>
      </c>
      <c r="C148" s="92">
        <v>2</v>
      </c>
      <c r="D148" s="85">
        <v>3</v>
      </c>
      <c r="E148" s="119"/>
      <c r="F148" s="106" t="s">
        <v>115</v>
      </c>
      <c r="G148" s="108"/>
      <c r="H148" s="110">
        <f>G148*12</f>
        <v>0</v>
      </c>
      <c r="I148" s="12" t="e">
        <f>+G148-#REF!</f>
        <v>#REF!</v>
      </c>
      <c r="J148" s="110"/>
      <c r="K148" s="110"/>
    </row>
    <row r="149" spans="1:23" ht="15.75" x14ac:dyDescent="0.25">
      <c r="A149" s="85"/>
      <c r="B149" s="85"/>
      <c r="C149" s="92"/>
      <c r="D149" s="85"/>
      <c r="E149" s="93"/>
      <c r="F149" s="104"/>
      <c r="G149" s="125"/>
      <c r="H149" s="96"/>
      <c r="I149" s="6"/>
      <c r="J149" s="96"/>
      <c r="K149" s="96"/>
    </row>
    <row r="150" spans="1:23" ht="31.5" customHeight="1" thickBot="1" x14ac:dyDescent="0.3">
      <c r="A150" s="85">
        <v>2</v>
      </c>
      <c r="B150" s="85">
        <v>6</v>
      </c>
      <c r="C150" s="92">
        <v>4</v>
      </c>
      <c r="D150" s="85"/>
      <c r="E150" s="93"/>
      <c r="F150" s="104" t="s">
        <v>116</v>
      </c>
      <c r="G150" s="125">
        <f>G152+G153+G151</f>
        <v>0</v>
      </c>
      <c r="H150" s="110">
        <f>H151+H152</f>
        <v>0</v>
      </c>
      <c r="I150" s="12">
        <f>I151+I152</f>
        <v>0</v>
      </c>
      <c r="J150" s="110">
        <f>J151+J152</f>
        <v>0</v>
      </c>
      <c r="K150" s="110">
        <f>K151+K152</f>
        <v>0</v>
      </c>
    </row>
    <row r="151" spans="1:23" ht="31.5" x14ac:dyDescent="0.25">
      <c r="A151" s="85">
        <v>2</v>
      </c>
      <c r="B151" s="85">
        <v>6</v>
      </c>
      <c r="C151" s="92">
        <v>4</v>
      </c>
      <c r="D151" s="85"/>
      <c r="E151" s="93"/>
      <c r="F151" s="127" t="s">
        <v>116</v>
      </c>
      <c r="G151" s="100"/>
      <c r="H151" s="109">
        <v>0</v>
      </c>
      <c r="I151" s="13">
        <v>0</v>
      </c>
      <c r="J151" s="109">
        <v>0</v>
      </c>
      <c r="K151" s="109">
        <f>+H151+J151</f>
        <v>0</v>
      </c>
    </row>
    <row r="152" spans="1:23" ht="15.75" x14ac:dyDescent="0.25">
      <c r="A152" s="85">
        <v>2</v>
      </c>
      <c r="B152" s="85">
        <v>6</v>
      </c>
      <c r="C152" s="92">
        <v>4</v>
      </c>
      <c r="D152" s="85">
        <v>1</v>
      </c>
      <c r="E152" s="85"/>
      <c r="F152" s="127" t="s">
        <v>117</v>
      </c>
      <c r="G152" s="108"/>
      <c r="H152" s="110">
        <v>0</v>
      </c>
      <c r="I152" s="12">
        <v>0</v>
      </c>
      <c r="J152" s="110">
        <v>0</v>
      </c>
      <c r="K152" s="110">
        <v>0</v>
      </c>
    </row>
    <row r="153" spans="1:23" ht="15.75" x14ac:dyDescent="0.25">
      <c r="A153" s="85">
        <v>2</v>
      </c>
      <c r="B153" s="85">
        <v>6</v>
      </c>
      <c r="C153" s="92">
        <v>4</v>
      </c>
      <c r="D153" s="85">
        <v>7</v>
      </c>
      <c r="E153" s="85"/>
      <c r="F153" s="127" t="s">
        <v>118</v>
      </c>
      <c r="G153" s="108">
        <v>0</v>
      </c>
      <c r="H153" s="110">
        <v>0</v>
      </c>
      <c r="I153" s="12">
        <v>0</v>
      </c>
      <c r="J153" s="110">
        <v>0</v>
      </c>
      <c r="K153" s="110">
        <v>0</v>
      </c>
    </row>
    <row r="154" spans="1:23" ht="16.5" thickBot="1" x14ac:dyDescent="0.3">
      <c r="A154" s="85"/>
      <c r="B154" s="85"/>
      <c r="C154" s="92"/>
      <c r="D154" s="84"/>
      <c r="E154" s="85"/>
      <c r="F154" s="127"/>
      <c r="G154" s="111"/>
      <c r="H154" s="117"/>
      <c r="I154" s="12"/>
      <c r="J154" s="117"/>
      <c r="K154" s="117"/>
    </row>
    <row r="155" spans="1:23" ht="18" thickBot="1" x14ac:dyDescent="0.35">
      <c r="A155" s="137"/>
      <c r="B155" s="137"/>
      <c r="C155" s="138"/>
      <c r="D155" s="139"/>
      <c r="E155" s="139"/>
      <c r="F155" s="140" t="s">
        <v>119</v>
      </c>
      <c r="G155" s="95">
        <f>G111+G49+G13</f>
        <v>42039167</v>
      </c>
      <c r="H155" s="165">
        <f>H111+H49+H13</f>
        <v>3087103.98</v>
      </c>
      <c r="I155" s="165" t="e">
        <f>I111+I49+I13</f>
        <v>#REF!</v>
      </c>
      <c r="J155" s="165">
        <f>J111+J49+J13</f>
        <v>3272561.4400000004</v>
      </c>
      <c r="K155" s="165">
        <f>K111+K49+K13</f>
        <v>6359665.4199999999</v>
      </c>
      <c r="P155" s="264"/>
      <c r="Q155" s="264"/>
      <c r="S155" s="264"/>
      <c r="T155" s="264"/>
    </row>
    <row r="156" spans="1:23" ht="17.25" x14ac:dyDescent="0.3">
      <c r="A156" s="141"/>
      <c r="B156" s="141"/>
      <c r="C156" s="66"/>
      <c r="D156" s="66"/>
      <c r="E156" s="66"/>
      <c r="F156" s="66"/>
      <c r="G156" s="142"/>
      <c r="H156" s="143"/>
      <c r="I156" s="1"/>
      <c r="J156" s="23"/>
      <c r="K156" s="23"/>
      <c r="P156" s="263"/>
      <c r="Q156" s="263"/>
      <c r="S156" s="263"/>
      <c r="T156" s="263"/>
      <c r="V156" s="11"/>
    </row>
    <row r="157" spans="1:23" ht="18" x14ac:dyDescent="0.25">
      <c r="A157" s="141"/>
      <c r="B157" s="141"/>
      <c r="C157" s="66"/>
      <c r="D157" s="66"/>
      <c r="E157" s="144"/>
      <c r="F157" s="145"/>
      <c r="G157" s="142"/>
      <c r="H157" s="146"/>
      <c r="I157" s="31"/>
      <c r="J157" s="23"/>
      <c r="K157" s="23"/>
    </row>
    <row r="158" spans="1:23" ht="18" x14ac:dyDescent="0.25">
      <c r="A158" s="141"/>
      <c r="B158" s="141"/>
      <c r="C158" s="66"/>
      <c r="D158" s="66"/>
      <c r="E158" s="147"/>
      <c r="F158" s="148"/>
      <c r="G158" s="149"/>
      <c r="H158" s="150"/>
      <c r="I158" s="33"/>
      <c r="J158" s="34"/>
      <c r="K158" s="34"/>
    </row>
    <row r="159" spans="1:23" ht="19.5" thickBot="1" x14ac:dyDescent="0.35">
      <c r="A159" s="64"/>
      <c r="B159" s="64"/>
      <c r="C159" s="64"/>
      <c r="D159" s="64"/>
      <c r="E159" s="64"/>
      <c r="F159" s="148"/>
      <c r="G159" s="151"/>
      <c r="H159" s="151"/>
      <c r="I159" s="35"/>
      <c r="J159" s="37"/>
      <c r="K159" s="37"/>
      <c r="Q159" s="17"/>
      <c r="R159" s="17"/>
      <c r="S159" s="36"/>
      <c r="U159" s="38"/>
      <c r="V159" s="11"/>
    </row>
    <row r="160" spans="1:23" ht="18.75" x14ac:dyDescent="0.3">
      <c r="A160" s="64"/>
      <c r="B160" s="64"/>
      <c r="C160" s="64"/>
      <c r="D160" s="64"/>
      <c r="E160" s="64"/>
      <c r="F160" s="152" t="s">
        <v>120</v>
      </c>
      <c r="G160" s="151"/>
      <c r="H160" s="151"/>
      <c r="I160" s="32"/>
      <c r="J160" s="39"/>
      <c r="K160" s="39"/>
      <c r="L160" s="40"/>
      <c r="N160" s="38"/>
      <c r="O160" s="18"/>
      <c r="P160" s="36"/>
      <c r="Q160" s="38"/>
      <c r="W160" s="11"/>
    </row>
    <row r="161" spans="1:26" ht="18.75" x14ac:dyDescent="0.3">
      <c r="A161" s="64"/>
      <c r="B161" s="64"/>
      <c r="C161" s="64"/>
      <c r="D161" s="64"/>
      <c r="E161" s="64"/>
      <c r="F161" s="148" t="s">
        <v>121</v>
      </c>
      <c r="G161" s="153"/>
      <c r="H161" s="151"/>
      <c r="I161" s="32"/>
      <c r="J161" s="39"/>
      <c r="K161" s="39"/>
      <c r="L161" s="11"/>
      <c r="N161" s="1"/>
      <c r="R161" s="11"/>
      <c r="S161" s="41"/>
      <c r="W161" s="11"/>
      <c r="X161" s="11"/>
    </row>
    <row r="162" spans="1:26" ht="18.75" x14ac:dyDescent="0.3">
      <c r="A162" s="64"/>
      <c r="B162" s="64"/>
      <c r="C162" s="64"/>
      <c r="D162" s="64"/>
      <c r="E162" s="64"/>
      <c r="F162" s="148"/>
      <c r="G162" s="153"/>
      <c r="H162" s="151"/>
      <c r="I162" s="32"/>
      <c r="J162" s="39"/>
      <c r="K162" s="39"/>
      <c r="L162" s="11"/>
      <c r="N162" s="1"/>
      <c r="R162" s="11"/>
      <c r="S162" s="41"/>
      <c r="W162" s="11"/>
      <c r="X162" s="11"/>
    </row>
    <row r="163" spans="1:26" ht="18.75" x14ac:dyDescent="0.3">
      <c r="A163" s="64"/>
      <c r="B163" s="64"/>
      <c r="C163" s="64"/>
      <c r="D163" s="64"/>
      <c r="E163" s="64"/>
      <c r="F163" s="148"/>
      <c r="G163" s="151"/>
      <c r="H163" s="151"/>
      <c r="I163" s="32"/>
      <c r="J163" s="39"/>
      <c r="K163" s="39"/>
      <c r="N163" s="1"/>
      <c r="P163" s="41"/>
      <c r="S163" s="42"/>
      <c r="U163" s="23"/>
      <c r="V163" s="11"/>
      <c r="W163" s="11"/>
      <c r="X163" s="11"/>
    </row>
    <row r="164" spans="1:26" ht="18.75" x14ac:dyDescent="0.3">
      <c r="A164" s="64"/>
      <c r="B164" s="64"/>
      <c r="C164" s="64"/>
      <c r="D164" s="64"/>
      <c r="E164" s="64"/>
      <c r="F164" s="148"/>
      <c r="G164" s="153"/>
      <c r="H164" s="23"/>
      <c r="I164" s="44"/>
      <c r="J164" s="161"/>
      <c r="K164" s="161"/>
      <c r="L164" s="23"/>
      <c r="M164" s="23"/>
      <c r="N164" s="23"/>
      <c r="O164" s="23"/>
      <c r="P164" s="42"/>
      <c r="Q164" s="23"/>
      <c r="R164" s="23"/>
      <c r="S164" s="45"/>
      <c r="U164" s="23"/>
      <c r="X164" s="11"/>
    </row>
    <row r="165" spans="1:26" ht="18.75" x14ac:dyDescent="0.3">
      <c r="A165" s="64"/>
      <c r="B165" s="64"/>
      <c r="C165" s="64"/>
      <c r="D165" s="64"/>
      <c r="E165" s="64"/>
      <c r="F165" s="148"/>
      <c r="G165" s="153"/>
      <c r="H165" s="23"/>
      <c r="I165" s="44"/>
      <c r="J165" s="161"/>
      <c r="K165" s="161"/>
      <c r="L165" s="23"/>
      <c r="M165" s="23"/>
      <c r="N165" s="23"/>
      <c r="O165" s="23"/>
      <c r="P165" s="42"/>
      <c r="Q165" s="23"/>
      <c r="R165" s="23"/>
      <c r="S165" s="45"/>
      <c r="U165" s="23"/>
      <c r="X165" s="11"/>
    </row>
    <row r="166" spans="1:26" ht="18.75" x14ac:dyDescent="0.3">
      <c r="A166" s="64"/>
      <c r="B166" s="64"/>
      <c r="C166" s="64"/>
      <c r="D166" s="64"/>
      <c r="E166" s="64"/>
      <c r="F166" s="148"/>
      <c r="G166" s="153"/>
      <c r="H166" s="23"/>
      <c r="I166" s="44"/>
      <c r="J166" s="161"/>
      <c r="K166" s="161"/>
      <c r="L166" s="23"/>
      <c r="M166" s="23"/>
      <c r="N166" s="23"/>
      <c r="O166" s="23"/>
      <c r="P166" s="42"/>
      <c r="Q166" s="23"/>
      <c r="R166" s="23"/>
      <c r="S166" s="45"/>
      <c r="U166" s="23"/>
      <c r="X166" s="11"/>
    </row>
    <row r="167" spans="1:26" ht="19.5" thickBot="1" x14ac:dyDescent="0.35">
      <c r="A167" s="64"/>
      <c r="B167" s="64"/>
      <c r="C167" s="64"/>
      <c r="D167" s="64"/>
      <c r="E167" s="64"/>
      <c r="F167" s="156"/>
      <c r="G167" s="153"/>
      <c r="H167" s="23"/>
      <c r="I167" s="44"/>
      <c r="J167" s="161"/>
      <c r="K167" s="161"/>
      <c r="L167" s="23"/>
      <c r="M167" s="23"/>
      <c r="N167" s="23"/>
      <c r="O167" s="23"/>
      <c r="P167" s="42"/>
      <c r="Q167" s="23"/>
      <c r="R167" s="23"/>
      <c r="S167" s="45"/>
      <c r="U167" s="23"/>
      <c r="X167" s="11"/>
    </row>
    <row r="168" spans="1:26" ht="18" x14ac:dyDescent="0.25">
      <c r="A168" s="64"/>
      <c r="B168" s="64"/>
      <c r="C168" s="64"/>
      <c r="D168" s="64"/>
      <c r="E168" s="64"/>
      <c r="F168" s="148" t="s">
        <v>122</v>
      </c>
      <c r="G168" s="154"/>
      <c r="H168" s="23"/>
      <c r="I168" s="33"/>
      <c r="J168" s="46"/>
      <c r="K168" s="46"/>
      <c r="L168" s="23"/>
      <c r="M168" s="23"/>
      <c r="N168" s="23"/>
      <c r="O168" s="23"/>
      <c r="P168" s="45"/>
      <c r="Q168" s="23"/>
      <c r="R168" s="23"/>
      <c r="S168" s="45"/>
      <c r="U168" s="23"/>
      <c r="V168" s="11"/>
      <c r="W168" s="11"/>
      <c r="Z168" s="11"/>
    </row>
    <row r="169" spans="1:26" ht="18" x14ac:dyDescent="0.25">
      <c r="A169" s="64"/>
      <c r="B169" s="64"/>
      <c r="C169" s="64"/>
      <c r="D169" s="64"/>
      <c r="E169" s="64"/>
      <c r="F169" s="148" t="s">
        <v>123</v>
      </c>
      <c r="G169" s="154"/>
      <c r="H169" s="23"/>
      <c r="I169" s="33"/>
      <c r="J169" s="46"/>
      <c r="K169" s="46"/>
      <c r="L169" s="23"/>
      <c r="M169" s="23"/>
      <c r="N169" s="23"/>
      <c r="O169" s="23"/>
      <c r="P169" s="45"/>
      <c r="Q169" s="23"/>
      <c r="R169" s="23"/>
      <c r="S169" s="47"/>
      <c r="U169" s="23"/>
      <c r="V169" s="11"/>
      <c r="X169" s="11"/>
    </row>
    <row r="170" spans="1:26" ht="18" x14ac:dyDescent="0.25">
      <c r="A170" s="64"/>
      <c r="B170" s="64"/>
      <c r="C170" s="64"/>
      <c r="D170" s="64"/>
      <c r="E170" s="64"/>
      <c r="F170" s="148"/>
      <c r="G170" s="155"/>
      <c r="H170" s="23"/>
      <c r="I170" s="49"/>
      <c r="J170" s="11"/>
      <c r="K170" s="11"/>
      <c r="L170" s="23"/>
      <c r="M170" s="23"/>
      <c r="N170" s="23"/>
      <c r="O170" s="23"/>
      <c r="P170" s="47"/>
      <c r="Q170" s="23"/>
      <c r="R170" s="23"/>
      <c r="S170" s="1"/>
      <c r="U170" s="23"/>
      <c r="Z170" s="11"/>
    </row>
    <row r="171" spans="1:26" ht="15.75" x14ac:dyDescent="0.25">
      <c r="A171" s="64"/>
      <c r="B171" s="64"/>
      <c r="C171" s="64"/>
      <c r="D171" s="64"/>
      <c r="E171" s="64"/>
      <c r="F171" s="141"/>
      <c r="G171" s="155"/>
      <c r="H171" s="23"/>
      <c r="I171" s="49"/>
      <c r="J171" s="23"/>
      <c r="K171" s="23"/>
      <c r="L171" s="23"/>
      <c r="M171" s="23"/>
      <c r="N171" s="31"/>
      <c r="O171" s="23"/>
      <c r="Q171" s="23"/>
      <c r="R171" s="23"/>
      <c r="S171" s="1"/>
      <c r="T171" s="11"/>
      <c r="U171" s="23"/>
      <c r="W171" s="11"/>
      <c r="X171" s="11"/>
    </row>
    <row r="172" spans="1:26" ht="15.75" x14ac:dyDescent="0.25">
      <c r="A172" s="64"/>
      <c r="B172" s="64"/>
      <c r="C172" s="64"/>
      <c r="D172" s="64"/>
      <c r="E172" s="64"/>
      <c r="F172" s="141"/>
      <c r="G172" s="155"/>
      <c r="H172" s="23"/>
      <c r="I172" s="49"/>
      <c r="J172" s="23"/>
      <c r="K172" s="23"/>
      <c r="L172" s="23"/>
      <c r="M172" s="23"/>
      <c r="N172" s="31"/>
      <c r="O172" s="23"/>
      <c r="Q172" s="23"/>
      <c r="R172" s="23"/>
      <c r="S172" s="11"/>
      <c r="T172" s="11"/>
      <c r="U172" s="23"/>
      <c r="W172" s="11"/>
    </row>
    <row r="173" spans="1:26" ht="18" x14ac:dyDescent="0.25">
      <c r="A173" s="64"/>
      <c r="B173" s="64"/>
      <c r="C173" s="64"/>
      <c r="D173" s="64"/>
      <c r="E173" s="64"/>
      <c r="F173" s="64"/>
      <c r="G173" s="157"/>
      <c r="H173" s="23"/>
      <c r="I173" s="48"/>
      <c r="J173" s="23"/>
      <c r="K173" s="23"/>
      <c r="L173" s="46"/>
      <c r="M173" s="46"/>
      <c r="N173" s="50"/>
      <c r="O173" s="46"/>
      <c r="P173" s="11"/>
      <c r="Q173" s="23"/>
      <c r="R173" s="23"/>
      <c r="S173" s="51"/>
      <c r="U173" s="52"/>
      <c r="Y173" s="11"/>
    </row>
    <row r="174" spans="1:26" ht="18.75" thickBot="1" x14ac:dyDescent="0.3">
      <c r="A174" s="64"/>
      <c r="B174" s="64"/>
      <c r="C174" s="64"/>
      <c r="D174" s="64"/>
      <c r="E174" s="64"/>
      <c r="F174" s="64"/>
      <c r="G174" s="148"/>
      <c r="H174" s="23"/>
      <c r="I174" s="43"/>
      <c r="J174" s="23"/>
      <c r="K174" s="23"/>
      <c r="L174" s="242"/>
      <c r="M174" s="46"/>
      <c r="N174" s="256"/>
      <c r="O174" s="46"/>
      <c r="P174" s="257"/>
      <c r="Q174" s="52"/>
      <c r="R174" s="23"/>
      <c r="S174" s="51"/>
      <c r="U174" s="54"/>
      <c r="V174" s="18"/>
      <c r="W174" s="11"/>
      <c r="X174" s="11"/>
    </row>
    <row r="175" spans="1:26" ht="19.5" thickTop="1" thickBot="1" x14ac:dyDescent="0.3">
      <c r="A175" s="64"/>
      <c r="B175" s="64"/>
      <c r="C175" s="64"/>
      <c r="D175" s="64"/>
      <c r="E175" s="64"/>
      <c r="F175" s="156"/>
      <c r="G175" s="148"/>
      <c r="H175" s="158"/>
      <c r="I175" s="43"/>
      <c r="J175" s="23"/>
      <c r="K175" s="23"/>
      <c r="L175" s="242"/>
      <c r="M175" s="46"/>
      <c r="N175" s="38"/>
      <c r="O175" s="46"/>
      <c r="P175" s="257"/>
      <c r="Q175" s="54"/>
      <c r="R175" s="23"/>
      <c r="T175" s="11"/>
      <c r="U175" s="23"/>
      <c r="V175" s="11"/>
    </row>
    <row r="176" spans="1:26" ht="18" x14ac:dyDescent="0.25">
      <c r="A176" s="64"/>
      <c r="B176" s="64"/>
      <c r="C176" s="64"/>
      <c r="D176" s="159"/>
      <c r="E176" s="64"/>
      <c r="F176" s="148" t="s">
        <v>124</v>
      </c>
      <c r="G176" s="159"/>
      <c r="H176" s="158"/>
      <c r="I176" s="43"/>
      <c r="J176" s="23"/>
      <c r="K176" s="23"/>
      <c r="L176" s="46"/>
      <c r="M176" s="46"/>
      <c r="N176" s="1"/>
      <c r="O176" s="46"/>
      <c r="Q176" s="23"/>
      <c r="R176" s="23"/>
      <c r="U176" s="23"/>
      <c r="W176" s="18"/>
    </row>
    <row r="177" spans="1:26" ht="18" x14ac:dyDescent="0.25">
      <c r="A177" s="64"/>
      <c r="B177" s="64"/>
      <c r="C177" s="64"/>
      <c r="D177" s="64"/>
      <c r="E177" s="64"/>
      <c r="F177" s="148" t="s">
        <v>125</v>
      </c>
      <c r="G177" s="64"/>
      <c r="H177" s="160"/>
      <c r="I177" s="56"/>
      <c r="J177" s="23"/>
      <c r="K177" s="23"/>
      <c r="L177" s="46"/>
      <c r="M177" s="46"/>
      <c r="N177" s="1"/>
      <c r="O177" s="46"/>
      <c r="Q177" s="23"/>
      <c r="R177" s="23"/>
      <c r="S177" s="57"/>
      <c r="U177" s="52"/>
      <c r="V177" s="11"/>
    </row>
    <row r="178" spans="1:26" ht="18" x14ac:dyDescent="0.25">
      <c r="A178" s="64"/>
      <c r="B178" s="64"/>
      <c r="C178" s="64"/>
      <c r="D178" s="64"/>
      <c r="E178" s="64"/>
      <c r="F178" s="148"/>
      <c r="G178" s="64"/>
      <c r="H178" s="160"/>
      <c r="I178" s="56"/>
      <c r="J178" s="23"/>
      <c r="K178" s="23"/>
      <c r="L178" s="46"/>
      <c r="M178" s="46"/>
      <c r="N178" s="31"/>
      <c r="O178" s="46"/>
      <c r="P178" s="258"/>
      <c r="Q178" s="52"/>
      <c r="R178" s="23"/>
      <c r="S178" s="42"/>
      <c r="U178" s="56"/>
    </row>
    <row r="179" spans="1:26" x14ac:dyDescent="0.25">
      <c r="A179" s="64"/>
      <c r="B179" s="64"/>
      <c r="C179" s="64"/>
      <c r="D179" s="64"/>
      <c r="E179" s="64"/>
      <c r="F179" s="64"/>
      <c r="G179" s="64"/>
      <c r="H179" s="160"/>
      <c r="I179" s="56"/>
      <c r="J179" s="23"/>
      <c r="K179" s="23"/>
      <c r="L179" s="46"/>
      <c r="M179" s="46"/>
      <c r="N179" s="46"/>
      <c r="O179" s="46"/>
      <c r="P179" s="42"/>
      <c r="Q179" s="56"/>
      <c r="R179" s="23"/>
      <c r="S179" s="58"/>
      <c r="U179" s="56"/>
      <c r="W179" s="11"/>
    </row>
    <row r="180" spans="1:26" x14ac:dyDescent="0.25">
      <c r="A180" s="64"/>
      <c r="B180" s="64"/>
      <c r="C180" s="64"/>
      <c r="D180" s="64"/>
      <c r="E180" s="64"/>
      <c r="F180" s="64"/>
      <c r="G180" s="64"/>
      <c r="H180" s="160"/>
      <c r="I180" s="23"/>
      <c r="J180" s="23"/>
      <c r="K180" s="23"/>
      <c r="L180" s="46"/>
      <c r="M180" s="46"/>
      <c r="N180" s="46"/>
      <c r="O180" s="46"/>
      <c r="P180" s="45"/>
      <c r="Q180" s="56"/>
      <c r="R180" s="23"/>
      <c r="S180" s="58"/>
      <c r="U180" s="56"/>
      <c r="Y180" s="23"/>
    </row>
    <row r="181" spans="1:26" x14ac:dyDescent="0.25">
      <c r="A181" s="64"/>
      <c r="B181" s="64"/>
      <c r="C181" s="64"/>
      <c r="D181" s="64"/>
      <c r="E181" s="64"/>
      <c r="F181" s="64"/>
      <c r="G181" s="64"/>
      <c r="H181" s="160"/>
      <c r="I181" s="23"/>
      <c r="J181" s="23"/>
      <c r="K181" s="23"/>
      <c r="L181" s="46"/>
      <c r="M181" s="46"/>
      <c r="N181" s="46"/>
      <c r="O181" s="46"/>
      <c r="P181" s="45"/>
      <c r="Q181" s="56"/>
      <c r="R181" s="23"/>
      <c r="S181" s="45"/>
      <c r="U181" s="56"/>
      <c r="W181" s="11"/>
      <c r="Y181" s="23"/>
    </row>
    <row r="182" spans="1:26" x14ac:dyDescent="0.25">
      <c r="A182" s="64"/>
      <c r="B182" s="64"/>
      <c r="C182" s="64"/>
      <c r="D182" s="64"/>
      <c r="E182" s="64"/>
      <c r="G182" s="64"/>
      <c r="H182" s="160"/>
      <c r="I182" s="23"/>
      <c r="J182" s="23"/>
      <c r="K182" s="23"/>
      <c r="L182" s="46"/>
      <c r="M182" s="46"/>
      <c r="N182" s="46"/>
      <c r="O182" s="46"/>
      <c r="P182" s="45"/>
      <c r="Q182" s="56"/>
      <c r="R182" s="23"/>
      <c r="S182" s="45"/>
      <c r="T182" s="11"/>
      <c r="U182" s="56"/>
      <c r="W182" s="11"/>
      <c r="Y182" s="23"/>
    </row>
    <row r="183" spans="1:26" x14ac:dyDescent="0.25">
      <c r="A183" s="64"/>
      <c r="B183" s="64"/>
      <c r="C183" s="64"/>
      <c r="D183" s="64"/>
      <c r="E183" s="64"/>
      <c r="G183" s="64"/>
      <c r="H183" s="65"/>
      <c r="I183" s="23"/>
      <c r="J183" s="23"/>
      <c r="K183" s="23"/>
      <c r="L183" s="46"/>
      <c r="M183" s="46"/>
      <c r="N183" s="46"/>
      <c r="O183" s="46"/>
      <c r="P183" s="45"/>
      <c r="Q183" s="56"/>
      <c r="R183" s="23"/>
      <c r="S183" s="45"/>
      <c r="U183" s="56"/>
      <c r="Y183" s="23"/>
    </row>
    <row r="184" spans="1:26" ht="18" x14ac:dyDescent="0.25">
      <c r="A184" s="64"/>
      <c r="B184" s="64"/>
      <c r="C184" s="64"/>
      <c r="D184" s="64"/>
      <c r="E184" s="64"/>
      <c r="F184" s="148"/>
      <c r="G184" s="64"/>
      <c r="H184" s="65"/>
      <c r="I184" s="23"/>
      <c r="J184" s="23"/>
      <c r="K184" s="23"/>
      <c r="L184" s="46"/>
      <c r="M184" s="46"/>
      <c r="N184" s="46"/>
      <c r="O184" s="46"/>
      <c r="P184" s="45"/>
      <c r="Q184" s="56"/>
      <c r="R184" s="23"/>
      <c r="S184" s="1"/>
      <c r="U184" s="56"/>
      <c r="Y184" s="23"/>
    </row>
    <row r="185" spans="1:26" x14ac:dyDescent="0.25">
      <c r="A185" s="64"/>
      <c r="B185" s="64"/>
      <c r="C185" s="64"/>
      <c r="D185" s="64"/>
      <c r="E185" s="64"/>
      <c r="F185" s="64"/>
      <c r="G185" s="64"/>
      <c r="H185" s="65"/>
      <c r="I185" s="23"/>
      <c r="J185" s="23"/>
      <c r="K185" s="23"/>
      <c r="L185" s="46"/>
      <c r="M185" s="46"/>
      <c r="N185" s="46"/>
      <c r="O185" s="46"/>
      <c r="P185" s="11"/>
      <c r="Q185" s="56"/>
      <c r="R185" s="23"/>
      <c r="S185" s="58"/>
      <c r="U185" s="56"/>
      <c r="W185" s="11"/>
      <c r="Y185" s="11"/>
      <c r="Z185" s="11"/>
    </row>
    <row r="186" spans="1:26" x14ac:dyDescent="0.25">
      <c r="A186" s="64"/>
      <c r="B186" s="64"/>
      <c r="C186" s="64"/>
      <c r="D186" s="64"/>
      <c r="E186" s="64"/>
      <c r="F186" s="64"/>
      <c r="G186" s="64"/>
      <c r="H186" s="65"/>
      <c r="I186" s="23"/>
      <c r="J186" s="23"/>
      <c r="K186" s="23"/>
      <c r="L186" s="23"/>
      <c r="M186" s="23"/>
      <c r="N186" s="23"/>
      <c r="O186" s="23"/>
      <c r="P186" s="58"/>
      <c r="Q186" s="56"/>
      <c r="R186" s="23"/>
      <c r="S186" s="58"/>
      <c r="U186" s="56"/>
      <c r="W186" s="23"/>
    </row>
    <row r="187" spans="1:26" x14ac:dyDescent="0.25">
      <c r="A187" s="64"/>
      <c r="B187" s="64"/>
      <c r="C187" s="64"/>
      <c r="D187" s="64"/>
      <c r="E187" s="64"/>
      <c r="F187" s="64"/>
      <c r="G187" s="64"/>
      <c r="H187" s="65"/>
      <c r="I187" s="23"/>
      <c r="J187" s="23"/>
      <c r="K187" s="23"/>
      <c r="L187" s="23"/>
      <c r="M187" s="23"/>
      <c r="N187" s="23"/>
      <c r="O187" s="23"/>
      <c r="P187" s="58"/>
      <c r="Q187" s="56"/>
      <c r="R187" s="23"/>
      <c r="U187" s="56"/>
      <c r="Y187" s="11"/>
    </row>
    <row r="188" spans="1:26" x14ac:dyDescent="0.25">
      <c r="H188" s="30"/>
      <c r="I188" s="23"/>
      <c r="J188" s="23"/>
      <c r="K188" s="23"/>
      <c r="L188" s="23"/>
      <c r="M188" s="23"/>
      <c r="N188" s="23"/>
      <c r="O188" s="23"/>
      <c r="Q188" s="56"/>
      <c r="R188" s="23"/>
      <c r="S188" s="51"/>
      <c r="U188" s="59"/>
    </row>
    <row r="189" spans="1:26" x14ac:dyDescent="0.25">
      <c r="I189" s="23"/>
      <c r="J189" s="23"/>
      <c r="K189" s="23"/>
      <c r="L189" s="59"/>
      <c r="M189" s="23"/>
      <c r="N189" s="59"/>
      <c r="O189" s="23"/>
      <c r="P189" s="51"/>
      <c r="Q189" s="59"/>
      <c r="R189" s="23"/>
      <c r="S189" s="51"/>
      <c r="U189" s="60"/>
    </row>
    <row r="190" spans="1:26" ht="15.75" thickBot="1" x14ac:dyDescent="0.3">
      <c r="I190" s="23"/>
      <c r="J190" s="23"/>
      <c r="K190" s="23"/>
      <c r="L190" s="60"/>
      <c r="M190" s="23"/>
      <c r="N190" s="60"/>
      <c r="O190" s="23"/>
      <c r="P190" s="51"/>
      <c r="Q190" s="60"/>
      <c r="R190" s="23"/>
      <c r="S190" s="58"/>
      <c r="U190" s="61"/>
      <c r="W190" s="11"/>
    </row>
    <row r="191" spans="1:26" ht="15.75" thickBot="1" x14ac:dyDescent="0.3">
      <c r="I191" s="23"/>
      <c r="J191" s="23"/>
      <c r="K191" s="23"/>
      <c r="L191" s="61"/>
      <c r="M191" s="23"/>
      <c r="N191" s="61"/>
      <c r="O191" s="23"/>
      <c r="P191" s="58"/>
      <c r="Q191" s="61"/>
      <c r="R191" s="23"/>
      <c r="S191" s="62"/>
      <c r="U191" s="63"/>
      <c r="V191" s="23"/>
      <c r="W191" s="11"/>
    </row>
    <row r="192" spans="1:26" ht="15.75" thickBot="1" x14ac:dyDescent="0.3">
      <c r="I192" s="23"/>
      <c r="J192" s="23"/>
      <c r="K192" s="23"/>
      <c r="L192" s="63"/>
      <c r="M192" s="23"/>
      <c r="N192" s="63"/>
      <c r="O192" s="23"/>
      <c r="P192" s="62"/>
      <c r="Q192" s="63"/>
      <c r="R192" s="23"/>
      <c r="S192" s="11"/>
      <c r="U192" s="23"/>
    </row>
    <row r="193" spans="9:21" ht="15.75" thickTop="1" x14ac:dyDescent="0.25">
      <c r="I193" s="23"/>
      <c r="J193" s="23"/>
      <c r="K193" s="23"/>
      <c r="L193" s="23"/>
      <c r="M193" s="23"/>
      <c r="N193" s="23"/>
      <c r="O193" s="23"/>
      <c r="P193" s="11"/>
      <c r="Q193" s="23"/>
      <c r="R193" s="23"/>
      <c r="U193" s="23"/>
    </row>
    <row r="194" spans="9:21" x14ac:dyDescent="0.25">
      <c r="I194" s="23"/>
      <c r="J194" s="23"/>
      <c r="K194" s="23"/>
      <c r="L194" s="23"/>
      <c r="M194" s="23"/>
      <c r="N194" s="23"/>
      <c r="O194" s="23"/>
      <c r="Q194" s="23"/>
      <c r="R194" s="23"/>
    </row>
    <row r="195" spans="9:21" x14ac:dyDescent="0.25">
      <c r="I195" s="23"/>
      <c r="J195" s="23"/>
      <c r="K195" s="23"/>
      <c r="L195" s="23"/>
      <c r="M195" s="23"/>
      <c r="N195" s="23"/>
      <c r="O195" s="23"/>
      <c r="Q195" s="23"/>
      <c r="R195" s="23"/>
    </row>
    <row r="196" spans="9:21" x14ac:dyDescent="0.25">
      <c r="I196" s="23"/>
      <c r="J196" s="23"/>
      <c r="K196" s="23"/>
      <c r="L196" s="23"/>
      <c r="M196" s="23"/>
      <c r="N196" s="23"/>
      <c r="O196" s="23"/>
      <c r="Q196" s="23"/>
      <c r="R196" s="23"/>
    </row>
    <row r="197" spans="9:21" x14ac:dyDescent="0.25">
      <c r="I197" s="23"/>
      <c r="J197" s="23"/>
      <c r="K197" s="23"/>
      <c r="L197" s="23"/>
      <c r="M197" s="23"/>
      <c r="N197" s="23"/>
      <c r="O197" s="23"/>
      <c r="Q197" s="23"/>
      <c r="R197" s="23"/>
    </row>
    <row r="198" spans="9:21" x14ac:dyDescent="0.25">
      <c r="I198" s="23"/>
      <c r="J198" s="23"/>
      <c r="K198" s="23"/>
      <c r="L198" s="23"/>
      <c r="M198" s="23"/>
      <c r="N198" s="23"/>
      <c r="O198" s="23"/>
      <c r="Q198" s="23"/>
      <c r="R198" s="23"/>
    </row>
    <row r="199" spans="9:21" x14ac:dyDescent="0.25">
      <c r="I199" s="23"/>
      <c r="J199" s="23"/>
      <c r="K199" s="23"/>
      <c r="L199" s="23"/>
      <c r="M199" s="23"/>
      <c r="N199" s="23"/>
      <c r="O199" s="23"/>
      <c r="Q199" s="23"/>
      <c r="R199" s="23"/>
    </row>
    <row r="200" spans="9:21" x14ac:dyDescent="0.25">
      <c r="I200" s="23"/>
      <c r="J200" s="23"/>
      <c r="K200" s="23"/>
      <c r="L200" s="23"/>
      <c r="M200" s="23"/>
      <c r="Q200" s="11"/>
      <c r="R200" s="23"/>
    </row>
    <row r="201" spans="9:21" x14ac:dyDescent="0.25">
      <c r="I201" s="23"/>
      <c r="J201" s="23"/>
      <c r="K201" s="23"/>
      <c r="L201" s="23"/>
      <c r="M201" s="23"/>
      <c r="Q201" s="11"/>
      <c r="R201" s="23"/>
    </row>
    <row r="202" spans="9:21" x14ac:dyDescent="0.25">
      <c r="I202" s="23"/>
      <c r="J202" s="23"/>
      <c r="K202" s="23"/>
      <c r="L202" s="23"/>
      <c r="M202" s="23"/>
      <c r="Q202" s="11"/>
    </row>
    <row r="203" spans="9:21" x14ac:dyDescent="0.25">
      <c r="I203" s="23"/>
      <c r="J203" s="23"/>
      <c r="K203" s="23"/>
      <c r="L203" s="23"/>
      <c r="M203" s="23"/>
    </row>
    <row r="204" spans="9:21" x14ac:dyDescent="0.25">
      <c r="I204" s="23"/>
      <c r="J204" s="23"/>
      <c r="K204" s="23"/>
      <c r="L204" s="23"/>
      <c r="M204" s="23"/>
    </row>
    <row r="205" spans="9:21" x14ac:dyDescent="0.25">
      <c r="I205" s="23"/>
      <c r="J205" s="23"/>
      <c r="K205" s="23"/>
    </row>
    <row r="206" spans="9:21" x14ac:dyDescent="0.25">
      <c r="I206" s="23"/>
      <c r="J206" s="23"/>
      <c r="K206" s="23"/>
      <c r="L206" s="11"/>
      <c r="N206" s="11"/>
    </row>
    <row r="207" spans="9:21" x14ac:dyDescent="0.25">
      <c r="I207" s="23"/>
      <c r="J207" s="23"/>
      <c r="K207" s="23"/>
    </row>
    <row r="208" spans="9:21" x14ac:dyDescent="0.25">
      <c r="I208" s="23"/>
      <c r="J208" s="23"/>
      <c r="K208" s="23"/>
    </row>
    <row r="209" spans="9:11" x14ac:dyDescent="0.25">
      <c r="I209" s="23"/>
      <c r="J209" s="23"/>
      <c r="K209" s="23"/>
    </row>
    <row r="210" spans="9:11" x14ac:dyDescent="0.25">
      <c r="I210" s="23"/>
      <c r="J210" s="23"/>
      <c r="K210" s="23"/>
    </row>
    <row r="211" spans="9:11" x14ac:dyDescent="0.25">
      <c r="I211" s="23"/>
      <c r="J211" s="23"/>
      <c r="K211" s="23"/>
    </row>
    <row r="212" spans="9:11" x14ac:dyDescent="0.25">
      <c r="I212" s="23"/>
      <c r="J212" s="23"/>
      <c r="K212" s="23"/>
    </row>
    <row r="213" spans="9:11" x14ac:dyDescent="0.25">
      <c r="I213" s="23"/>
      <c r="J213" s="23"/>
      <c r="K213" s="23"/>
    </row>
    <row r="214" spans="9:11" x14ac:dyDescent="0.25">
      <c r="I214" s="23"/>
      <c r="J214" s="23"/>
      <c r="K214" s="23"/>
    </row>
    <row r="215" spans="9:11" x14ac:dyDescent="0.25">
      <c r="I215" s="23"/>
      <c r="J215" s="23"/>
      <c r="K215" s="23"/>
    </row>
    <row r="216" spans="9:11" x14ac:dyDescent="0.25">
      <c r="I216" s="23"/>
      <c r="J216" s="23"/>
      <c r="K216" s="23"/>
    </row>
    <row r="217" spans="9:11" x14ac:dyDescent="0.25">
      <c r="I217" s="23"/>
      <c r="J217" s="23"/>
      <c r="K217" s="23"/>
    </row>
    <row r="218" spans="9:11" x14ac:dyDescent="0.25">
      <c r="I218" s="23"/>
      <c r="J218" s="23"/>
      <c r="K218" s="23"/>
    </row>
    <row r="219" spans="9:11" x14ac:dyDescent="0.25">
      <c r="I219" s="23"/>
      <c r="J219" s="23"/>
      <c r="K219" s="23"/>
    </row>
    <row r="220" spans="9:11" x14ac:dyDescent="0.25">
      <c r="I220" s="23"/>
      <c r="J220" s="23"/>
      <c r="K220" s="23"/>
    </row>
    <row r="221" spans="9:11" x14ac:dyDescent="0.25">
      <c r="I221" s="23"/>
      <c r="J221" s="23"/>
      <c r="K221" s="23"/>
    </row>
    <row r="222" spans="9:11" x14ac:dyDescent="0.25">
      <c r="I222" s="23"/>
      <c r="J222" s="23"/>
      <c r="K222" s="23"/>
    </row>
    <row r="223" spans="9:11" x14ac:dyDescent="0.25">
      <c r="I223" s="23"/>
      <c r="J223" s="23"/>
      <c r="K223" s="23"/>
    </row>
    <row r="224" spans="9:11" x14ac:dyDescent="0.25">
      <c r="I224" s="23"/>
      <c r="J224" s="23"/>
      <c r="K224" s="23"/>
    </row>
    <row r="225" spans="9:11" x14ac:dyDescent="0.25">
      <c r="I225" s="23"/>
      <c r="J225" s="23"/>
      <c r="K225" s="23"/>
    </row>
    <row r="226" spans="9:11" x14ac:dyDescent="0.25">
      <c r="I226" s="23"/>
      <c r="J226" s="23"/>
      <c r="K226" s="23"/>
    </row>
    <row r="227" spans="9:11" x14ac:dyDescent="0.25">
      <c r="I227" s="23"/>
      <c r="J227" s="23"/>
      <c r="K227" s="23"/>
    </row>
    <row r="228" spans="9:11" x14ac:dyDescent="0.25">
      <c r="I228" s="23"/>
      <c r="J228" s="23"/>
      <c r="K228" s="23"/>
    </row>
    <row r="229" spans="9:11" x14ac:dyDescent="0.25">
      <c r="I229" s="23"/>
      <c r="J229" s="23"/>
      <c r="K229" s="23"/>
    </row>
    <row r="230" spans="9:11" x14ac:dyDescent="0.25">
      <c r="I230" s="23"/>
      <c r="J230" s="23"/>
      <c r="K230" s="23"/>
    </row>
    <row r="231" spans="9:11" x14ac:dyDescent="0.25">
      <c r="I231" s="23"/>
      <c r="J231" s="23"/>
      <c r="K231" s="23"/>
    </row>
    <row r="232" spans="9:11" x14ac:dyDescent="0.25">
      <c r="I232" s="23"/>
      <c r="J232" s="23"/>
      <c r="K232" s="23"/>
    </row>
    <row r="233" spans="9:11" x14ac:dyDescent="0.25">
      <c r="I233" s="23"/>
      <c r="J233" s="23"/>
      <c r="K233" s="23"/>
    </row>
    <row r="234" spans="9:11" x14ac:dyDescent="0.25">
      <c r="I234" s="23"/>
      <c r="J234" s="23"/>
      <c r="K234" s="23"/>
    </row>
    <row r="235" spans="9:11" x14ac:dyDescent="0.25">
      <c r="I235" s="23"/>
      <c r="J235" s="23"/>
      <c r="K235" s="23"/>
    </row>
    <row r="236" spans="9:11" x14ac:dyDescent="0.25">
      <c r="I236" s="23"/>
      <c r="J236" s="23"/>
      <c r="K236" s="23"/>
    </row>
    <row r="237" spans="9:11" x14ac:dyDescent="0.25">
      <c r="I237" s="23"/>
      <c r="J237" s="23"/>
      <c r="K237" s="23"/>
    </row>
    <row r="238" spans="9:11" x14ac:dyDescent="0.25">
      <c r="I238" s="23"/>
      <c r="J238" s="23"/>
      <c r="K238" s="23"/>
    </row>
    <row r="239" spans="9:11" x14ac:dyDescent="0.25">
      <c r="I239" s="23"/>
      <c r="J239" s="23"/>
      <c r="K239" s="23"/>
    </row>
    <row r="240" spans="9:11" x14ac:dyDescent="0.25">
      <c r="I240" s="23"/>
      <c r="J240" s="23"/>
      <c r="K240" s="23"/>
    </row>
    <row r="241" spans="9:11" x14ac:dyDescent="0.25">
      <c r="I241" s="23"/>
      <c r="J241" s="23"/>
      <c r="K241" s="23"/>
    </row>
    <row r="242" spans="9:11" x14ac:dyDescent="0.25">
      <c r="I242" s="23"/>
      <c r="J242" s="23"/>
      <c r="K242" s="23"/>
    </row>
    <row r="243" spans="9:11" x14ac:dyDescent="0.25">
      <c r="I243" s="23"/>
      <c r="J243" s="23"/>
      <c r="K243" s="23"/>
    </row>
    <row r="244" spans="9:11" x14ac:dyDescent="0.25">
      <c r="I244" s="23"/>
      <c r="J244" s="23"/>
      <c r="K244" s="23"/>
    </row>
    <row r="245" spans="9:11" x14ac:dyDescent="0.25">
      <c r="I245" s="23"/>
      <c r="J245" s="23"/>
      <c r="K245" s="23"/>
    </row>
    <row r="246" spans="9:11" x14ac:dyDescent="0.25">
      <c r="I246" s="23"/>
      <c r="J246" s="23"/>
      <c r="K246" s="23"/>
    </row>
    <row r="247" spans="9:11" x14ac:dyDescent="0.25">
      <c r="I247" s="23"/>
      <c r="J247" s="23"/>
      <c r="K247" s="23"/>
    </row>
    <row r="248" spans="9:11" x14ac:dyDescent="0.25">
      <c r="I248" s="23"/>
      <c r="J248" s="23"/>
      <c r="K248" s="23"/>
    </row>
    <row r="249" spans="9:11" x14ac:dyDescent="0.25">
      <c r="I249" s="23"/>
      <c r="J249" s="23"/>
      <c r="K249" s="23"/>
    </row>
    <row r="250" spans="9:11" x14ac:dyDescent="0.25">
      <c r="I250" s="23"/>
      <c r="J250" s="23"/>
      <c r="K250" s="23"/>
    </row>
    <row r="251" spans="9:11" x14ac:dyDescent="0.25">
      <c r="I251" s="23"/>
      <c r="J251" s="23"/>
      <c r="K251" s="23"/>
    </row>
    <row r="252" spans="9:11" x14ac:dyDescent="0.25">
      <c r="I252" s="23"/>
      <c r="J252" s="23"/>
      <c r="K252" s="23"/>
    </row>
    <row r="253" spans="9:11" x14ac:dyDescent="0.25">
      <c r="I253" s="23"/>
      <c r="J253" s="23"/>
      <c r="K253" s="23"/>
    </row>
    <row r="254" spans="9:11" x14ac:dyDescent="0.25">
      <c r="I254" s="23"/>
      <c r="J254" s="23"/>
      <c r="K254" s="23"/>
    </row>
    <row r="255" spans="9:11" x14ac:dyDescent="0.25">
      <c r="I255" s="23"/>
      <c r="J255" s="23"/>
      <c r="K255" s="23"/>
    </row>
  </sheetData>
  <mergeCells count="8">
    <mergeCell ref="S155:T155"/>
    <mergeCell ref="P156:Q156"/>
    <mergeCell ref="S156:T156"/>
    <mergeCell ref="A5:H5"/>
    <mergeCell ref="A6:H6"/>
    <mergeCell ref="A7:H7"/>
    <mergeCell ref="A9:E9"/>
    <mergeCell ref="P155:Q155"/>
  </mergeCells>
  <pageMargins left="0.70866141732283472" right="0.31496062992125984" top="0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6"/>
  <sheetViews>
    <sheetView topLeftCell="G145" workbookViewId="0">
      <selection activeCell="O160" sqref="O160"/>
    </sheetView>
  </sheetViews>
  <sheetFormatPr baseColWidth="10" defaultColWidth="11.42578125" defaultRowHeight="15" x14ac:dyDescent="0.2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4" style="27" customWidth="1"/>
    <col min="9" max="9" width="23.42578125" hidden="1" customWidth="1"/>
    <col min="10" max="10" width="18.42578125" customWidth="1"/>
    <col min="11" max="11" width="15.7109375" customWidth="1"/>
    <col min="12" max="12" width="15.28515625" customWidth="1"/>
    <col min="13" max="13" width="19.140625" customWidth="1"/>
    <col min="14" max="15" width="14.140625" bestFit="1" customWidth="1"/>
    <col min="16" max="16" width="19.7109375" customWidth="1"/>
    <col min="18" max="18" width="13.140625" bestFit="1" customWidth="1"/>
    <col min="222" max="222" width="4.85546875" bestFit="1" customWidth="1"/>
    <col min="223" max="223" width="5.85546875" bestFit="1" customWidth="1"/>
    <col min="224" max="224" width="7.42578125" bestFit="1" customWidth="1"/>
    <col min="225" max="225" width="8.140625" bestFit="1" customWidth="1"/>
    <col min="226" max="226" width="4.5703125" bestFit="1" customWidth="1"/>
    <col min="227" max="227" width="57.5703125" customWidth="1"/>
    <col min="228" max="228" width="14.28515625" customWidth="1"/>
    <col min="229" max="229" width="0.85546875" customWidth="1"/>
    <col min="230" max="230" width="16.5703125" bestFit="1" customWidth="1"/>
    <col min="231" max="231" width="13.42578125" bestFit="1" customWidth="1"/>
    <col min="478" max="478" width="4.85546875" bestFit="1" customWidth="1"/>
    <col min="479" max="479" width="5.85546875" bestFit="1" customWidth="1"/>
    <col min="480" max="480" width="7.42578125" bestFit="1" customWidth="1"/>
    <col min="481" max="481" width="8.140625" bestFit="1" customWidth="1"/>
    <col min="482" max="482" width="4.5703125" bestFit="1" customWidth="1"/>
    <col min="483" max="483" width="57.5703125" customWidth="1"/>
    <col min="484" max="484" width="14.28515625" customWidth="1"/>
    <col min="485" max="485" width="0.85546875" customWidth="1"/>
    <col min="486" max="486" width="16.5703125" bestFit="1" customWidth="1"/>
    <col min="487" max="487" width="13.42578125" bestFit="1" customWidth="1"/>
    <col min="734" max="734" width="4.85546875" bestFit="1" customWidth="1"/>
    <col min="735" max="735" width="5.85546875" bestFit="1" customWidth="1"/>
    <col min="736" max="736" width="7.42578125" bestFit="1" customWidth="1"/>
    <col min="737" max="737" width="8.140625" bestFit="1" customWidth="1"/>
    <col min="738" max="738" width="4.5703125" bestFit="1" customWidth="1"/>
    <col min="739" max="739" width="57.5703125" customWidth="1"/>
    <col min="740" max="740" width="14.28515625" customWidth="1"/>
    <col min="741" max="741" width="0.85546875" customWidth="1"/>
    <col min="742" max="742" width="16.5703125" bestFit="1" customWidth="1"/>
    <col min="743" max="743" width="13.42578125" bestFit="1" customWidth="1"/>
    <col min="990" max="990" width="4.85546875" bestFit="1" customWidth="1"/>
    <col min="991" max="991" width="5.85546875" bestFit="1" customWidth="1"/>
    <col min="992" max="992" width="7.42578125" bestFit="1" customWidth="1"/>
    <col min="993" max="993" width="8.140625" bestFit="1" customWidth="1"/>
    <col min="994" max="994" width="4.5703125" bestFit="1" customWidth="1"/>
    <col min="995" max="995" width="57.5703125" customWidth="1"/>
    <col min="996" max="996" width="14.28515625" customWidth="1"/>
    <col min="997" max="997" width="0.85546875" customWidth="1"/>
    <col min="998" max="998" width="16.5703125" bestFit="1" customWidth="1"/>
    <col min="999" max="999" width="13.42578125" bestFit="1" customWidth="1"/>
    <col min="1246" max="1246" width="4.85546875" bestFit="1" customWidth="1"/>
    <col min="1247" max="1247" width="5.85546875" bestFit="1" customWidth="1"/>
    <col min="1248" max="1248" width="7.42578125" bestFit="1" customWidth="1"/>
    <col min="1249" max="1249" width="8.140625" bestFit="1" customWidth="1"/>
    <col min="1250" max="1250" width="4.5703125" bestFit="1" customWidth="1"/>
    <col min="1251" max="1251" width="57.5703125" customWidth="1"/>
    <col min="1252" max="1252" width="14.28515625" customWidth="1"/>
    <col min="1253" max="1253" width="0.85546875" customWidth="1"/>
    <col min="1254" max="1254" width="16.5703125" bestFit="1" customWidth="1"/>
    <col min="1255" max="1255" width="13.42578125" bestFit="1" customWidth="1"/>
    <col min="1502" max="1502" width="4.85546875" bestFit="1" customWidth="1"/>
    <col min="1503" max="1503" width="5.85546875" bestFit="1" customWidth="1"/>
    <col min="1504" max="1504" width="7.42578125" bestFit="1" customWidth="1"/>
    <col min="1505" max="1505" width="8.140625" bestFit="1" customWidth="1"/>
    <col min="1506" max="1506" width="4.5703125" bestFit="1" customWidth="1"/>
    <col min="1507" max="1507" width="57.5703125" customWidth="1"/>
    <col min="1508" max="1508" width="14.28515625" customWidth="1"/>
    <col min="1509" max="1509" width="0.85546875" customWidth="1"/>
    <col min="1510" max="1510" width="16.5703125" bestFit="1" customWidth="1"/>
    <col min="1511" max="1511" width="13.42578125" bestFit="1" customWidth="1"/>
    <col min="1758" max="1758" width="4.85546875" bestFit="1" customWidth="1"/>
    <col min="1759" max="1759" width="5.85546875" bestFit="1" customWidth="1"/>
    <col min="1760" max="1760" width="7.42578125" bestFit="1" customWidth="1"/>
    <col min="1761" max="1761" width="8.140625" bestFit="1" customWidth="1"/>
    <col min="1762" max="1762" width="4.5703125" bestFit="1" customWidth="1"/>
    <col min="1763" max="1763" width="57.5703125" customWidth="1"/>
    <col min="1764" max="1764" width="14.28515625" customWidth="1"/>
    <col min="1765" max="1765" width="0.85546875" customWidth="1"/>
    <col min="1766" max="1766" width="16.5703125" bestFit="1" customWidth="1"/>
    <col min="1767" max="1767" width="13.42578125" bestFit="1" customWidth="1"/>
    <col min="2014" max="2014" width="4.85546875" bestFit="1" customWidth="1"/>
    <col min="2015" max="2015" width="5.85546875" bestFit="1" customWidth="1"/>
    <col min="2016" max="2016" width="7.42578125" bestFit="1" customWidth="1"/>
    <col min="2017" max="2017" width="8.140625" bestFit="1" customWidth="1"/>
    <col min="2018" max="2018" width="4.5703125" bestFit="1" customWidth="1"/>
    <col min="2019" max="2019" width="57.5703125" customWidth="1"/>
    <col min="2020" max="2020" width="14.28515625" customWidth="1"/>
    <col min="2021" max="2021" width="0.85546875" customWidth="1"/>
    <col min="2022" max="2022" width="16.5703125" bestFit="1" customWidth="1"/>
    <col min="2023" max="2023" width="13.42578125" bestFit="1" customWidth="1"/>
    <col min="2270" max="2270" width="4.85546875" bestFit="1" customWidth="1"/>
    <col min="2271" max="2271" width="5.85546875" bestFit="1" customWidth="1"/>
    <col min="2272" max="2272" width="7.42578125" bestFit="1" customWidth="1"/>
    <col min="2273" max="2273" width="8.140625" bestFit="1" customWidth="1"/>
    <col min="2274" max="2274" width="4.5703125" bestFit="1" customWidth="1"/>
    <col min="2275" max="2275" width="57.5703125" customWidth="1"/>
    <col min="2276" max="2276" width="14.28515625" customWidth="1"/>
    <col min="2277" max="2277" width="0.85546875" customWidth="1"/>
    <col min="2278" max="2278" width="16.5703125" bestFit="1" customWidth="1"/>
    <col min="2279" max="2279" width="13.42578125" bestFit="1" customWidth="1"/>
    <col min="2526" max="2526" width="4.85546875" bestFit="1" customWidth="1"/>
    <col min="2527" max="2527" width="5.85546875" bestFit="1" customWidth="1"/>
    <col min="2528" max="2528" width="7.42578125" bestFit="1" customWidth="1"/>
    <col min="2529" max="2529" width="8.140625" bestFit="1" customWidth="1"/>
    <col min="2530" max="2530" width="4.5703125" bestFit="1" customWidth="1"/>
    <col min="2531" max="2531" width="57.5703125" customWidth="1"/>
    <col min="2532" max="2532" width="14.28515625" customWidth="1"/>
    <col min="2533" max="2533" width="0.85546875" customWidth="1"/>
    <col min="2534" max="2534" width="16.5703125" bestFit="1" customWidth="1"/>
    <col min="2535" max="2535" width="13.42578125" bestFit="1" customWidth="1"/>
    <col min="2782" max="2782" width="4.85546875" bestFit="1" customWidth="1"/>
    <col min="2783" max="2783" width="5.85546875" bestFit="1" customWidth="1"/>
    <col min="2784" max="2784" width="7.42578125" bestFit="1" customWidth="1"/>
    <col min="2785" max="2785" width="8.140625" bestFit="1" customWidth="1"/>
    <col min="2786" max="2786" width="4.5703125" bestFit="1" customWidth="1"/>
    <col min="2787" max="2787" width="57.5703125" customWidth="1"/>
    <col min="2788" max="2788" width="14.28515625" customWidth="1"/>
    <col min="2789" max="2789" width="0.85546875" customWidth="1"/>
    <col min="2790" max="2790" width="16.5703125" bestFit="1" customWidth="1"/>
    <col min="2791" max="2791" width="13.42578125" bestFit="1" customWidth="1"/>
    <col min="3038" max="3038" width="4.85546875" bestFit="1" customWidth="1"/>
    <col min="3039" max="3039" width="5.85546875" bestFit="1" customWidth="1"/>
    <col min="3040" max="3040" width="7.42578125" bestFit="1" customWidth="1"/>
    <col min="3041" max="3041" width="8.140625" bestFit="1" customWidth="1"/>
    <col min="3042" max="3042" width="4.5703125" bestFit="1" customWidth="1"/>
    <col min="3043" max="3043" width="57.5703125" customWidth="1"/>
    <col min="3044" max="3044" width="14.28515625" customWidth="1"/>
    <col min="3045" max="3045" width="0.85546875" customWidth="1"/>
    <col min="3046" max="3046" width="16.5703125" bestFit="1" customWidth="1"/>
    <col min="3047" max="3047" width="13.42578125" bestFit="1" customWidth="1"/>
    <col min="3294" max="3294" width="4.85546875" bestFit="1" customWidth="1"/>
    <col min="3295" max="3295" width="5.85546875" bestFit="1" customWidth="1"/>
    <col min="3296" max="3296" width="7.42578125" bestFit="1" customWidth="1"/>
    <col min="3297" max="3297" width="8.140625" bestFit="1" customWidth="1"/>
    <col min="3298" max="3298" width="4.5703125" bestFit="1" customWidth="1"/>
    <col min="3299" max="3299" width="57.5703125" customWidth="1"/>
    <col min="3300" max="3300" width="14.28515625" customWidth="1"/>
    <col min="3301" max="3301" width="0.85546875" customWidth="1"/>
    <col min="3302" max="3302" width="16.5703125" bestFit="1" customWidth="1"/>
    <col min="3303" max="3303" width="13.42578125" bestFit="1" customWidth="1"/>
    <col min="3550" max="3550" width="4.85546875" bestFit="1" customWidth="1"/>
    <col min="3551" max="3551" width="5.85546875" bestFit="1" customWidth="1"/>
    <col min="3552" max="3552" width="7.42578125" bestFit="1" customWidth="1"/>
    <col min="3553" max="3553" width="8.140625" bestFit="1" customWidth="1"/>
    <col min="3554" max="3554" width="4.5703125" bestFit="1" customWidth="1"/>
    <col min="3555" max="3555" width="57.5703125" customWidth="1"/>
    <col min="3556" max="3556" width="14.28515625" customWidth="1"/>
    <col min="3557" max="3557" width="0.85546875" customWidth="1"/>
    <col min="3558" max="3558" width="16.5703125" bestFit="1" customWidth="1"/>
    <col min="3559" max="3559" width="13.42578125" bestFit="1" customWidth="1"/>
    <col min="3806" max="3806" width="4.85546875" bestFit="1" customWidth="1"/>
    <col min="3807" max="3807" width="5.85546875" bestFit="1" customWidth="1"/>
    <col min="3808" max="3808" width="7.42578125" bestFit="1" customWidth="1"/>
    <col min="3809" max="3809" width="8.140625" bestFit="1" customWidth="1"/>
    <col min="3810" max="3810" width="4.5703125" bestFit="1" customWidth="1"/>
    <col min="3811" max="3811" width="57.5703125" customWidth="1"/>
    <col min="3812" max="3812" width="14.28515625" customWidth="1"/>
    <col min="3813" max="3813" width="0.85546875" customWidth="1"/>
    <col min="3814" max="3814" width="16.5703125" bestFit="1" customWidth="1"/>
    <col min="3815" max="3815" width="13.42578125" bestFit="1" customWidth="1"/>
    <col min="4062" max="4062" width="4.85546875" bestFit="1" customWidth="1"/>
    <col min="4063" max="4063" width="5.85546875" bestFit="1" customWidth="1"/>
    <col min="4064" max="4064" width="7.42578125" bestFit="1" customWidth="1"/>
    <col min="4065" max="4065" width="8.140625" bestFit="1" customWidth="1"/>
    <col min="4066" max="4066" width="4.5703125" bestFit="1" customWidth="1"/>
    <col min="4067" max="4067" width="57.5703125" customWidth="1"/>
    <col min="4068" max="4068" width="14.28515625" customWidth="1"/>
    <col min="4069" max="4069" width="0.85546875" customWidth="1"/>
    <col min="4070" max="4070" width="16.5703125" bestFit="1" customWidth="1"/>
    <col min="4071" max="4071" width="13.42578125" bestFit="1" customWidth="1"/>
    <col min="4318" max="4318" width="4.85546875" bestFit="1" customWidth="1"/>
    <col min="4319" max="4319" width="5.85546875" bestFit="1" customWidth="1"/>
    <col min="4320" max="4320" width="7.42578125" bestFit="1" customWidth="1"/>
    <col min="4321" max="4321" width="8.140625" bestFit="1" customWidth="1"/>
    <col min="4322" max="4322" width="4.5703125" bestFit="1" customWidth="1"/>
    <col min="4323" max="4323" width="57.5703125" customWidth="1"/>
    <col min="4324" max="4324" width="14.28515625" customWidth="1"/>
    <col min="4325" max="4325" width="0.85546875" customWidth="1"/>
    <col min="4326" max="4326" width="16.5703125" bestFit="1" customWidth="1"/>
    <col min="4327" max="4327" width="13.42578125" bestFit="1" customWidth="1"/>
    <col min="4574" max="4574" width="4.85546875" bestFit="1" customWidth="1"/>
    <col min="4575" max="4575" width="5.85546875" bestFit="1" customWidth="1"/>
    <col min="4576" max="4576" width="7.42578125" bestFit="1" customWidth="1"/>
    <col min="4577" max="4577" width="8.140625" bestFit="1" customWidth="1"/>
    <col min="4578" max="4578" width="4.5703125" bestFit="1" customWidth="1"/>
    <col min="4579" max="4579" width="57.5703125" customWidth="1"/>
    <col min="4580" max="4580" width="14.28515625" customWidth="1"/>
    <col min="4581" max="4581" width="0.85546875" customWidth="1"/>
    <col min="4582" max="4582" width="16.5703125" bestFit="1" customWidth="1"/>
    <col min="4583" max="4583" width="13.42578125" bestFit="1" customWidth="1"/>
    <col min="4830" max="4830" width="4.85546875" bestFit="1" customWidth="1"/>
    <col min="4831" max="4831" width="5.85546875" bestFit="1" customWidth="1"/>
    <col min="4832" max="4832" width="7.42578125" bestFit="1" customWidth="1"/>
    <col min="4833" max="4833" width="8.140625" bestFit="1" customWidth="1"/>
    <col min="4834" max="4834" width="4.5703125" bestFit="1" customWidth="1"/>
    <col min="4835" max="4835" width="57.5703125" customWidth="1"/>
    <col min="4836" max="4836" width="14.28515625" customWidth="1"/>
    <col min="4837" max="4837" width="0.85546875" customWidth="1"/>
    <col min="4838" max="4838" width="16.5703125" bestFit="1" customWidth="1"/>
    <col min="4839" max="4839" width="13.42578125" bestFit="1" customWidth="1"/>
    <col min="5086" max="5086" width="4.85546875" bestFit="1" customWidth="1"/>
    <col min="5087" max="5087" width="5.85546875" bestFit="1" customWidth="1"/>
    <col min="5088" max="5088" width="7.42578125" bestFit="1" customWidth="1"/>
    <col min="5089" max="5089" width="8.140625" bestFit="1" customWidth="1"/>
    <col min="5090" max="5090" width="4.5703125" bestFit="1" customWidth="1"/>
    <col min="5091" max="5091" width="57.5703125" customWidth="1"/>
    <col min="5092" max="5092" width="14.28515625" customWidth="1"/>
    <col min="5093" max="5093" width="0.85546875" customWidth="1"/>
    <col min="5094" max="5094" width="16.5703125" bestFit="1" customWidth="1"/>
    <col min="5095" max="5095" width="13.42578125" bestFit="1" customWidth="1"/>
    <col min="5342" max="5342" width="4.85546875" bestFit="1" customWidth="1"/>
    <col min="5343" max="5343" width="5.85546875" bestFit="1" customWidth="1"/>
    <col min="5344" max="5344" width="7.42578125" bestFit="1" customWidth="1"/>
    <col min="5345" max="5345" width="8.140625" bestFit="1" customWidth="1"/>
    <col min="5346" max="5346" width="4.5703125" bestFit="1" customWidth="1"/>
    <col min="5347" max="5347" width="57.5703125" customWidth="1"/>
    <col min="5348" max="5348" width="14.28515625" customWidth="1"/>
    <col min="5349" max="5349" width="0.85546875" customWidth="1"/>
    <col min="5350" max="5350" width="16.5703125" bestFit="1" customWidth="1"/>
    <col min="5351" max="5351" width="13.42578125" bestFit="1" customWidth="1"/>
    <col min="5598" max="5598" width="4.85546875" bestFit="1" customWidth="1"/>
    <col min="5599" max="5599" width="5.85546875" bestFit="1" customWidth="1"/>
    <col min="5600" max="5600" width="7.42578125" bestFit="1" customWidth="1"/>
    <col min="5601" max="5601" width="8.140625" bestFit="1" customWidth="1"/>
    <col min="5602" max="5602" width="4.5703125" bestFit="1" customWidth="1"/>
    <col min="5603" max="5603" width="57.5703125" customWidth="1"/>
    <col min="5604" max="5604" width="14.28515625" customWidth="1"/>
    <col min="5605" max="5605" width="0.85546875" customWidth="1"/>
    <col min="5606" max="5606" width="16.5703125" bestFit="1" customWidth="1"/>
    <col min="5607" max="5607" width="13.42578125" bestFit="1" customWidth="1"/>
    <col min="5854" max="5854" width="4.85546875" bestFit="1" customWidth="1"/>
    <col min="5855" max="5855" width="5.85546875" bestFit="1" customWidth="1"/>
    <col min="5856" max="5856" width="7.42578125" bestFit="1" customWidth="1"/>
    <col min="5857" max="5857" width="8.140625" bestFit="1" customWidth="1"/>
    <col min="5858" max="5858" width="4.5703125" bestFit="1" customWidth="1"/>
    <col min="5859" max="5859" width="57.5703125" customWidth="1"/>
    <col min="5860" max="5860" width="14.28515625" customWidth="1"/>
    <col min="5861" max="5861" width="0.85546875" customWidth="1"/>
    <col min="5862" max="5862" width="16.5703125" bestFit="1" customWidth="1"/>
    <col min="5863" max="5863" width="13.42578125" bestFit="1" customWidth="1"/>
    <col min="6110" max="6110" width="4.85546875" bestFit="1" customWidth="1"/>
    <col min="6111" max="6111" width="5.85546875" bestFit="1" customWidth="1"/>
    <col min="6112" max="6112" width="7.42578125" bestFit="1" customWidth="1"/>
    <col min="6113" max="6113" width="8.140625" bestFit="1" customWidth="1"/>
    <col min="6114" max="6114" width="4.5703125" bestFit="1" customWidth="1"/>
    <col min="6115" max="6115" width="57.5703125" customWidth="1"/>
    <col min="6116" max="6116" width="14.28515625" customWidth="1"/>
    <col min="6117" max="6117" width="0.85546875" customWidth="1"/>
    <col min="6118" max="6118" width="16.5703125" bestFit="1" customWidth="1"/>
    <col min="6119" max="6119" width="13.42578125" bestFit="1" customWidth="1"/>
    <col min="6366" max="6366" width="4.85546875" bestFit="1" customWidth="1"/>
    <col min="6367" max="6367" width="5.85546875" bestFit="1" customWidth="1"/>
    <col min="6368" max="6368" width="7.42578125" bestFit="1" customWidth="1"/>
    <col min="6369" max="6369" width="8.140625" bestFit="1" customWidth="1"/>
    <col min="6370" max="6370" width="4.5703125" bestFit="1" customWidth="1"/>
    <col min="6371" max="6371" width="57.5703125" customWidth="1"/>
    <col min="6372" max="6372" width="14.28515625" customWidth="1"/>
    <col min="6373" max="6373" width="0.85546875" customWidth="1"/>
    <col min="6374" max="6374" width="16.5703125" bestFit="1" customWidth="1"/>
    <col min="6375" max="6375" width="13.42578125" bestFit="1" customWidth="1"/>
    <col min="6622" max="6622" width="4.85546875" bestFit="1" customWidth="1"/>
    <col min="6623" max="6623" width="5.85546875" bestFit="1" customWidth="1"/>
    <col min="6624" max="6624" width="7.42578125" bestFit="1" customWidth="1"/>
    <col min="6625" max="6625" width="8.140625" bestFit="1" customWidth="1"/>
    <col min="6626" max="6626" width="4.5703125" bestFit="1" customWidth="1"/>
    <col min="6627" max="6627" width="57.5703125" customWidth="1"/>
    <col min="6628" max="6628" width="14.28515625" customWidth="1"/>
    <col min="6629" max="6629" width="0.85546875" customWidth="1"/>
    <col min="6630" max="6630" width="16.5703125" bestFit="1" customWidth="1"/>
    <col min="6631" max="6631" width="13.42578125" bestFit="1" customWidth="1"/>
    <col min="6878" max="6878" width="4.85546875" bestFit="1" customWidth="1"/>
    <col min="6879" max="6879" width="5.85546875" bestFit="1" customWidth="1"/>
    <col min="6880" max="6880" width="7.42578125" bestFit="1" customWidth="1"/>
    <col min="6881" max="6881" width="8.140625" bestFit="1" customWidth="1"/>
    <col min="6882" max="6882" width="4.5703125" bestFit="1" customWidth="1"/>
    <col min="6883" max="6883" width="57.5703125" customWidth="1"/>
    <col min="6884" max="6884" width="14.28515625" customWidth="1"/>
    <col min="6885" max="6885" width="0.85546875" customWidth="1"/>
    <col min="6886" max="6886" width="16.5703125" bestFit="1" customWidth="1"/>
    <col min="6887" max="6887" width="13.42578125" bestFit="1" customWidth="1"/>
    <col min="7134" max="7134" width="4.85546875" bestFit="1" customWidth="1"/>
    <col min="7135" max="7135" width="5.85546875" bestFit="1" customWidth="1"/>
    <col min="7136" max="7136" width="7.42578125" bestFit="1" customWidth="1"/>
    <col min="7137" max="7137" width="8.140625" bestFit="1" customWidth="1"/>
    <col min="7138" max="7138" width="4.5703125" bestFit="1" customWidth="1"/>
    <col min="7139" max="7139" width="57.5703125" customWidth="1"/>
    <col min="7140" max="7140" width="14.28515625" customWidth="1"/>
    <col min="7141" max="7141" width="0.85546875" customWidth="1"/>
    <col min="7142" max="7142" width="16.5703125" bestFit="1" customWidth="1"/>
    <col min="7143" max="7143" width="13.42578125" bestFit="1" customWidth="1"/>
    <col min="7390" max="7390" width="4.85546875" bestFit="1" customWidth="1"/>
    <col min="7391" max="7391" width="5.85546875" bestFit="1" customWidth="1"/>
    <col min="7392" max="7392" width="7.42578125" bestFit="1" customWidth="1"/>
    <col min="7393" max="7393" width="8.140625" bestFit="1" customWidth="1"/>
    <col min="7394" max="7394" width="4.5703125" bestFit="1" customWidth="1"/>
    <col min="7395" max="7395" width="57.5703125" customWidth="1"/>
    <col min="7396" max="7396" width="14.28515625" customWidth="1"/>
    <col min="7397" max="7397" width="0.85546875" customWidth="1"/>
    <col min="7398" max="7398" width="16.5703125" bestFit="1" customWidth="1"/>
    <col min="7399" max="7399" width="13.42578125" bestFit="1" customWidth="1"/>
    <col min="7646" max="7646" width="4.85546875" bestFit="1" customWidth="1"/>
    <col min="7647" max="7647" width="5.85546875" bestFit="1" customWidth="1"/>
    <col min="7648" max="7648" width="7.42578125" bestFit="1" customWidth="1"/>
    <col min="7649" max="7649" width="8.140625" bestFit="1" customWidth="1"/>
    <col min="7650" max="7650" width="4.5703125" bestFit="1" customWidth="1"/>
    <col min="7651" max="7651" width="57.5703125" customWidth="1"/>
    <col min="7652" max="7652" width="14.28515625" customWidth="1"/>
    <col min="7653" max="7653" width="0.85546875" customWidth="1"/>
    <col min="7654" max="7654" width="16.5703125" bestFit="1" customWidth="1"/>
    <col min="7655" max="7655" width="13.42578125" bestFit="1" customWidth="1"/>
    <col min="7902" max="7902" width="4.85546875" bestFit="1" customWidth="1"/>
    <col min="7903" max="7903" width="5.85546875" bestFit="1" customWidth="1"/>
    <col min="7904" max="7904" width="7.42578125" bestFit="1" customWidth="1"/>
    <col min="7905" max="7905" width="8.140625" bestFit="1" customWidth="1"/>
    <col min="7906" max="7906" width="4.5703125" bestFit="1" customWidth="1"/>
    <col min="7907" max="7907" width="57.5703125" customWidth="1"/>
    <col min="7908" max="7908" width="14.28515625" customWidth="1"/>
    <col min="7909" max="7909" width="0.85546875" customWidth="1"/>
    <col min="7910" max="7910" width="16.5703125" bestFit="1" customWidth="1"/>
    <col min="7911" max="7911" width="13.42578125" bestFit="1" customWidth="1"/>
    <col min="8158" max="8158" width="4.85546875" bestFit="1" customWidth="1"/>
    <col min="8159" max="8159" width="5.85546875" bestFit="1" customWidth="1"/>
    <col min="8160" max="8160" width="7.42578125" bestFit="1" customWidth="1"/>
    <col min="8161" max="8161" width="8.140625" bestFit="1" customWidth="1"/>
    <col min="8162" max="8162" width="4.5703125" bestFit="1" customWidth="1"/>
    <col min="8163" max="8163" width="57.5703125" customWidth="1"/>
    <col min="8164" max="8164" width="14.28515625" customWidth="1"/>
    <col min="8165" max="8165" width="0.85546875" customWidth="1"/>
    <col min="8166" max="8166" width="16.5703125" bestFit="1" customWidth="1"/>
    <col min="8167" max="8167" width="13.42578125" bestFit="1" customWidth="1"/>
    <col min="8414" max="8414" width="4.85546875" bestFit="1" customWidth="1"/>
    <col min="8415" max="8415" width="5.85546875" bestFit="1" customWidth="1"/>
    <col min="8416" max="8416" width="7.42578125" bestFit="1" customWidth="1"/>
    <col min="8417" max="8417" width="8.140625" bestFit="1" customWidth="1"/>
    <col min="8418" max="8418" width="4.5703125" bestFit="1" customWidth="1"/>
    <col min="8419" max="8419" width="57.5703125" customWidth="1"/>
    <col min="8420" max="8420" width="14.28515625" customWidth="1"/>
    <col min="8421" max="8421" width="0.85546875" customWidth="1"/>
    <col min="8422" max="8422" width="16.5703125" bestFit="1" customWidth="1"/>
    <col min="8423" max="8423" width="13.42578125" bestFit="1" customWidth="1"/>
    <col min="8670" max="8670" width="4.85546875" bestFit="1" customWidth="1"/>
    <col min="8671" max="8671" width="5.85546875" bestFit="1" customWidth="1"/>
    <col min="8672" max="8672" width="7.42578125" bestFit="1" customWidth="1"/>
    <col min="8673" max="8673" width="8.140625" bestFit="1" customWidth="1"/>
    <col min="8674" max="8674" width="4.5703125" bestFit="1" customWidth="1"/>
    <col min="8675" max="8675" width="57.5703125" customWidth="1"/>
    <col min="8676" max="8676" width="14.28515625" customWidth="1"/>
    <col min="8677" max="8677" width="0.85546875" customWidth="1"/>
    <col min="8678" max="8678" width="16.5703125" bestFit="1" customWidth="1"/>
    <col min="8679" max="8679" width="13.42578125" bestFit="1" customWidth="1"/>
    <col min="8926" max="8926" width="4.85546875" bestFit="1" customWidth="1"/>
    <col min="8927" max="8927" width="5.85546875" bestFit="1" customWidth="1"/>
    <col min="8928" max="8928" width="7.42578125" bestFit="1" customWidth="1"/>
    <col min="8929" max="8929" width="8.140625" bestFit="1" customWidth="1"/>
    <col min="8930" max="8930" width="4.5703125" bestFit="1" customWidth="1"/>
    <col min="8931" max="8931" width="57.5703125" customWidth="1"/>
    <col min="8932" max="8932" width="14.28515625" customWidth="1"/>
    <col min="8933" max="8933" width="0.85546875" customWidth="1"/>
    <col min="8934" max="8934" width="16.5703125" bestFit="1" customWidth="1"/>
    <col min="8935" max="8935" width="13.42578125" bestFit="1" customWidth="1"/>
    <col min="9182" max="9182" width="4.85546875" bestFit="1" customWidth="1"/>
    <col min="9183" max="9183" width="5.85546875" bestFit="1" customWidth="1"/>
    <col min="9184" max="9184" width="7.42578125" bestFit="1" customWidth="1"/>
    <col min="9185" max="9185" width="8.140625" bestFit="1" customWidth="1"/>
    <col min="9186" max="9186" width="4.5703125" bestFit="1" customWidth="1"/>
    <col min="9187" max="9187" width="57.5703125" customWidth="1"/>
    <col min="9188" max="9188" width="14.28515625" customWidth="1"/>
    <col min="9189" max="9189" width="0.85546875" customWidth="1"/>
    <col min="9190" max="9190" width="16.5703125" bestFit="1" customWidth="1"/>
    <col min="9191" max="9191" width="13.42578125" bestFit="1" customWidth="1"/>
    <col min="9438" max="9438" width="4.85546875" bestFit="1" customWidth="1"/>
    <col min="9439" max="9439" width="5.85546875" bestFit="1" customWidth="1"/>
    <col min="9440" max="9440" width="7.42578125" bestFit="1" customWidth="1"/>
    <col min="9441" max="9441" width="8.140625" bestFit="1" customWidth="1"/>
    <col min="9442" max="9442" width="4.5703125" bestFit="1" customWidth="1"/>
    <col min="9443" max="9443" width="57.5703125" customWidth="1"/>
    <col min="9444" max="9444" width="14.28515625" customWidth="1"/>
    <col min="9445" max="9445" width="0.85546875" customWidth="1"/>
    <col min="9446" max="9446" width="16.5703125" bestFit="1" customWidth="1"/>
    <col min="9447" max="9447" width="13.42578125" bestFit="1" customWidth="1"/>
    <col min="9694" max="9694" width="4.85546875" bestFit="1" customWidth="1"/>
    <col min="9695" max="9695" width="5.85546875" bestFit="1" customWidth="1"/>
    <col min="9696" max="9696" width="7.42578125" bestFit="1" customWidth="1"/>
    <col min="9697" max="9697" width="8.140625" bestFit="1" customWidth="1"/>
    <col min="9698" max="9698" width="4.5703125" bestFit="1" customWidth="1"/>
    <col min="9699" max="9699" width="57.5703125" customWidth="1"/>
    <col min="9700" max="9700" width="14.28515625" customWidth="1"/>
    <col min="9701" max="9701" width="0.85546875" customWidth="1"/>
    <col min="9702" max="9702" width="16.5703125" bestFit="1" customWidth="1"/>
    <col min="9703" max="9703" width="13.42578125" bestFit="1" customWidth="1"/>
    <col min="9950" max="9950" width="4.85546875" bestFit="1" customWidth="1"/>
    <col min="9951" max="9951" width="5.85546875" bestFit="1" customWidth="1"/>
    <col min="9952" max="9952" width="7.42578125" bestFit="1" customWidth="1"/>
    <col min="9953" max="9953" width="8.140625" bestFit="1" customWidth="1"/>
    <col min="9954" max="9954" width="4.5703125" bestFit="1" customWidth="1"/>
    <col min="9955" max="9955" width="57.5703125" customWidth="1"/>
    <col min="9956" max="9956" width="14.28515625" customWidth="1"/>
    <col min="9957" max="9957" width="0.85546875" customWidth="1"/>
    <col min="9958" max="9958" width="16.5703125" bestFit="1" customWidth="1"/>
    <col min="9959" max="9959" width="13.42578125" bestFit="1" customWidth="1"/>
    <col min="10206" max="10206" width="4.85546875" bestFit="1" customWidth="1"/>
    <col min="10207" max="10207" width="5.85546875" bestFit="1" customWidth="1"/>
    <col min="10208" max="10208" width="7.42578125" bestFit="1" customWidth="1"/>
    <col min="10209" max="10209" width="8.140625" bestFit="1" customWidth="1"/>
    <col min="10210" max="10210" width="4.5703125" bestFit="1" customWidth="1"/>
    <col min="10211" max="10211" width="57.5703125" customWidth="1"/>
    <col min="10212" max="10212" width="14.28515625" customWidth="1"/>
    <col min="10213" max="10213" width="0.85546875" customWidth="1"/>
    <col min="10214" max="10214" width="16.5703125" bestFit="1" customWidth="1"/>
    <col min="10215" max="10215" width="13.42578125" bestFit="1" customWidth="1"/>
    <col min="10462" max="10462" width="4.85546875" bestFit="1" customWidth="1"/>
    <col min="10463" max="10463" width="5.85546875" bestFit="1" customWidth="1"/>
    <col min="10464" max="10464" width="7.42578125" bestFit="1" customWidth="1"/>
    <col min="10465" max="10465" width="8.140625" bestFit="1" customWidth="1"/>
    <col min="10466" max="10466" width="4.5703125" bestFit="1" customWidth="1"/>
    <col min="10467" max="10467" width="57.5703125" customWidth="1"/>
    <col min="10468" max="10468" width="14.28515625" customWidth="1"/>
    <col min="10469" max="10469" width="0.85546875" customWidth="1"/>
    <col min="10470" max="10470" width="16.5703125" bestFit="1" customWidth="1"/>
    <col min="10471" max="10471" width="13.42578125" bestFit="1" customWidth="1"/>
    <col min="10718" max="10718" width="4.85546875" bestFit="1" customWidth="1"/>
    <col min="10719" max="10719" width="5.85546875" bestFit="1" customWidth="1"/>
    <col min="10720" max="10720" width="7.42578125" bestFit="1" customWidth="1"/>
    <col min="10721" max="10721" width="8.140625" bestFit="1" customWidth="1"/>
    <col min="10722" max="10722" width="4.5703125" bestFit="1" customWidth="1"/>
    <col min="10723" max="10723" width="57.5703125" customWidth="1"/>
    <col min="10724" max="10724" width="14.28515625" customWidth="1"/>
    <col min="10725" max="10725" width="0.85546875" customWidth="1"/>
    <col min="10726" max="10726" width="16.5703125" bestFit="1" customWidth="1"/>
    <col min="10727" max="10727" width="13.42578125" bestFit="1" customWidth="1"/>
    <col min="10974" max="10974" width="4.85546875" bestFit="1" customWidth="1"/>
    <col min="10975" max="10975" width="5.85546875" bestFit="1" customWidth="1"/>
    <col min="10976" max="10976" width="7.42578125" bestFit="1" customWidth="1"/>
    <col min="10977" max="10977" width="8.140625" bestFit="1" customWidth="1"/>
    <col min="10978" max="10978" width="4.5703125" bestFit="1" customWidth="1"/>
    <col min="10979" max="10979" width="57.5703125" customWidth="1"/>
    <col min="10980" max="10980" width="14.28515625" customWidth="1"/>
    <col min="10981" max="10981" width="0.85546875" customWidth="1"/>
    <col min="10982" max="10982" width="16.5703125" bestFit="1" customWidth="1"/>
    <col min="10983" max="10983" width="13.42578125" bestFit="1" customWidth="1"/>
    <col min="11230" max="11230" width="4.85546875" bestFit="1" customWidth="1"/>
    <col min="11231" max="11231" width="5.85546875" bestFit="1" customWidth="1"/>
    <col min="11232" max="11232" width="7.42578125" bestFit="1" customWidth="1"/>
    <col min="11233" max="11233" width="8.140625" bestFit="1" customWidth="1"/>
    <col min="11234" max="11234" width="4.5703125" bestFit="1" customWidth="1"/>
    <col min="11235" max="11235" width="57.5703125" customWidth="1"/>
    <col min="11236" max="11236" width="14.28515625" customWidth="1"/>
    <col min="11237" max="11237" width="0.85546875" customWidth="1"/>
    <col min="11238" max="11238" width="16.5703125" bestFit="1" customWidth="1"/>
    <col min="11239" max="11239" width="13.42578125" bestFit="1" customWidth="1"/>
    <col min="11486" max="11486" width="4.85546875" bestFit="1" customWidth="1"/>
    <col min="11487" max="11487" width="5.85546875" bestFit="1" customWidth="1"/>
    <col min="11488" max="11488" width="7.42578125" bestFit="1" customWidth="1"/>
    <col min="11489" max="11489" width="8.140625" bestFit="1" customWidth="1"/>
    <col min="11490" max="11490" width="4.5703125" bestFit="1" customWidth="1"/>
    <col min="11491" max="11491" width="57.5703125" customWidth="1"/>
    <col min="11492" max="11492" width="14.28515625" customWidth="1"/>
    <col min="11493" max="11493" width="0.85546875" customWidth="1"/>
    <col min="11494" max="11494" width="16.5703125" bestFit="1" customWidth="1"/>
    <col min="11495" max="11495" width="13.42578125" bestFit="1" customWidth="1"/>
    <col min="11742" max="11742" width="4.85546875" bestFit="1" customWidth="1"/>
    <col min="11743" max="11743" width="5.85546875" bestFit="1" customWidth="1"/>
    <col min="11744" max="11744" width="7.42578125" bestFit="1" customWidth="1"/>
    <col min="11745" max="11745" width="8.140625" bestFit="1" customWidth="1"/>
    <col min="11746" max="11746" width="4.5703125" bestFit="1" customWidth="1"/>
    <col min="11747" max="11747" width="57.5703125" customWidth="1"/>
    <col min="11748" max="11748" width="14.28515625" customWidth="1"/>
    <col min="11749" max="11749" width="0.85546875" customWidth="1"/>
    <col min="11750" max="11750" width="16.5703125" bestFit="1" customWidth="1"/>
    <col min="11751" max="11751" width="13.42578125" bestFit="1" customWidth="1"/>
    <col min="11998" max="11998" width="4.85546875" bestFit="1" customWidth="1"/>
    <col min="11999" max="11999" width="5.85546875" bestFit="1" customWidth="1"/>
    <col min="12000" max="12000" width="7.42578125" bestFit="1" customWidth="1"/>
    <col min="12001" max="12001" width="8.140625" bestFit="1" customWidth="1"/>
    <col min="12002" max="12002" width="4.5703125" bestFit="1" customWidth="1"/>
    <col min="12003" max="12003" width="57.5703125" customWidth="1"/>
    <col min="12004" max="12004" width="14.28515625" customWidth="1"/>
    <col min="12005" max="12005" width="0.85546875" customWidth="1"/>
    <col min="12006" max="12006" width="16.5703125" bestFit="1" customWidth="1"/>
    <col min="12007" max="12007" width="13.42578125" bestFit="1" customWidth="1"/>
    <col min="12254" max="12254" width="4.85546875" bestFit="1" customWidth="1"/>
    <col min="12255" max="12255" width="5.85546875" bestFit="1" customWidth="1"/>
    <col min="12256" max="12256" width="7.42578125" bestFit="1" customWidth="1"/>
    <col min="12257" max="12257" width="8.140625" bestFit="1" customWidth="1"/>
    <col min="12258" max="12258" width="4.5703125" bestFit="1" customWidth="1"/>
    <col min="12259" max="12259" width="57.5703125" customWidth="1"/>
    <col min="12260" max="12260" width="14.28515625" customWidth="1"/>
    <col min="12261" max="12261" width="0.85546875" customWidth="1"/>
    <col min="12262" max="12262" width="16.5703125" bestFit="1" customWidth="1"/>
    <col min="12263" max="12263" width="13.42578125" bestFit="1" customWidth="1"/>
    <col min="12510" max="12510" width="4.85546875" bestFit="1" customWidth="1"/>
    <col min="12511" max="12511" width="5.85546875" bestFit="1" customWidth="1"/>
    <col min="12512" max="12512" width="7.42578125" bestFit="1" customWidth="1"/>
    <col min="12513" max="12513" width="8.140625" bestFit="1" customWidth="1"/>
    <col min="12514" max="12514" width="4.5703125" bestFit="1" customWidth="1"/>
    <col min="12515" max="12515" width="57.5703125" customWidth="1"/>
    <col min="12516" max="12516" width="14.28515625" customWidth="1"/>
    <col min="12517" max="12517" width="0.85546875" customWidth="1"/>
    <col min="12518" max="12518" width="16.5703125" bestFit="1" customWidth="1"/>
    <col min="12519" max="12519" width="13.42578125" bestFit="1" customWidth="1"/>
    <col min="12766" max="12766" width="4.85546875" bestFit="1" customWidth="1"/>
    <col min="12767" max="12767" width="5.85546875" bestFit="1" customWidth="1"/>
    <col min="12768" max="12768" width="7.42578125" bestFit="1" customWidth="1"/>
    <col min="12769" max="12769" width="8.140625" bestFit="1" customWidth="1"/>
    <col min="12770" max="12770" width="4.5703125" bestFit="1" customWidth="1"/>
    <col min="12771" max="12771" width="57.5703125" customWidth="1"/>
    <col min="12772" max="12772" width="14.28515625" customWidth="1"/>
    <col min="12773" max="12773" width="0.85546875" customWidth="1"/>
    <col min="12774" max="12774" width="16.5703125" bestFit="1" customWidth="1"/>
    <col min="12775" max="12775" width="13.42578125" bestFit="1" customWidth="1"/>
    <col min="13022" max="13022" width="4.85546875" bestFit="1" customWidth="1"/>
    <col min="13023" max="13023" width="5.85546875" bestFit="1" customWidth="1"/>
    <col min="13024" max="13024" width="7.42578125" bestFit="1" customWidth="1"/>
    <col min="13025" max="13025" width="8.140625" bestFit="1" customWidth="1"/>
    <col min="13026" max="13026" width="4.5703125" bestFit="1" customWidth="1"/>
    <col min="13027" max="13027" width="57.5703125" customWidth="1"/>
    <col min="13028" max="13028" width="14.28515625" customWidth="1"/>
    <col min="13029" max="13029" width="0.85546875" customWidth="1"/>
    <col min="13030" max="13030" width="16.5703125" bestFit="1" customWidth="1"/>
    <col min="13031" max="13031" width="13.42578125" bestFit="1" customWidth="1"/>
    <col min="13278" max="13278" width="4.85546875" bestFit="1" customWidth="1"/>
    <col min="13279" max="13279" width="5.85546875" bestFit="1" customWidth="1"/>
    <col min="13280" max="13280" width="7.42578125" bestFit="1" customWidth="1"/>
    <col min="13281" max="13281" width="8.140625" bestFit="1" customWidth="1"/>
    <col min="13282" max="13282" width="4.5703125" bestFit="1" customWidth="1"/>
    <col min="13283" max="13283" width="57.5703125" customWidth="1"/>
    <col min="13284" max="13284" width="14.28515625" customWidth="1"/>
    <col min="13285" max="13285" width="0.85546875" customWidth="1"/>
    <col min="13286" max="13286" width="16.5703125" bestFit="1" customWidth="1"/>
    <col min="13287" max="13287" width="13.42578125" bestFit="1" customWidth="1"/>
    <col min="13534" max="13534" width="4.85546875" bestFit="1" customWidth="1"/>
    <col min="13535" max="13535" width="5.85546875" bestFit="1" customWidth="1"/>
    <col min="13536" max="13536" width="7.42578125" bestFit="1" customWidth="1"/>
    <col min="13537" max="13537" width="8.140625" bestFit="1" customWidth="1"/>
    <col min="13538" max="13538" width="4.5703125" bestFit="1" customWidth="1"/>
    <col min="13539" max="13539" width="57.5703125" customWidth="1"/>
    <col min="13540" max="13540" width="14.28515625" customWidth="1"/>
    <col min="13541" max="13541" width="0.85546875" customWidth="1"/>
    <col min="13542" max="13542" width="16.5703125" bestFit="1" customWidth="1"/>
    <col min="13543" max="13543" width="13.42578125" bestFit="1" customWidth="1"/>
    <col min="13790" max="13790" width="4.85546875" bestFit="1" customWidth="1"/>
    <col min="13791" max="13791" width="5.85546875" bestFit="1" customWidth="1"/>
    <col min="13792" max="13792" width="7.42578125" bestFit="1" customWidth="1"/>
    <col min="13793" max="13793" width="8.140625" bestFit="1" customWidth="1"/>
    <col min="13794" max="13794" width="4.5703125" bestFit="1" customWidth="1"/>
    <col min="13795" max="13795" width="57.5703125" customWidth="1"/>
    <col min="13796" max="13796" width="14.28515625" customWidth="1"/>
    <col min="13797" max="13797" width="0.85546875" customWidth="1"/>
    <col min="13798" max="13798" width="16.5703125" bestFit="1" customWidth="1"/>
    <col min="13799" max="13799" width="13.42578125" bestFit="1" customWidth="1"/>
    <col min="14046" max="14046" width="4.85546875" bestFit="1" customWidth="1"/>
    <col min="14047" max="14047" width="5.85546875" bestFit="1" customWidth="1"/>
    <col min="14048" max="14048" width="7.42578125" bestFit="1" customWidth="1"/>
    <col min="14049" max="14049" width="8.140625" bestFit="1" customWidth="1"/>
    <col min="14050" max="14050" width="4.5703125" bestFit="1" customWidth="1"/>
    <col min="14051" max="14051" width="57.5703125" customWidth="1"/>
    <col min="14052" max="14052" width="14.28515625" customWidth="1"/>
    <col min="14053" max="14053" width="0.85546875" customWidth="1"/>
    <col min="14054" max="14054" width="16.5703125" bestFit="1" customWidth="1"/>
    <col min="14055" max="14055" width="13.42578125" bestFit="1" customWidth="1"/>
    <col min="14302" max="14302" width="4.85546875" bestFit="1" customWidth="1"/>
    <col min="14303" max="14303" width="5.85546875" bestFit="1" customWidth="1"/>
    <col min="14304" max="14304" width="7.42578125" bestFit="1" customWidth="1"/>
    <col min="14305" max="14305" width="8.140625" bestFit="1" customWidth="1"/>
    <col min="14306" max="14306" width="4.5703125" bestFit="1" customWidth="1"/>
    <col min="14307" max="14307" width="57.5703125" customWidth="1"/>
    <col min="14308" max="14308" width="14.28515625" customWidth="1"/>
    <col min="14309" max="14309" width="0.85546875" customWidth="1"/>
    <col min="14310" max="14310" width="16.5703125" bestFit="1" customWidth="1"/>
    <col min="14311" max="14311" width="13.42578125" bestFit="1" customWidth="1"/>
    <col min="14558" max="14558" width="4.85546875" bestFit="1" customWidth="1"/>
    <col min="14559" max="14559" width="5.85546875" bestFit="1" customWidth="1"/>
    <col min="14560" max="14560" width="7.42578125" bestFit="1" customWidth="1"/>
    <col min="14561" max="14561" width="8.140625" bestFit="1" customWidth="1"/>
    <col min="14562" max="14562" width="4.5703125" bestFit="1" customWidth="1"/>
    <col min="14563" max="14563" width="57.5703125" customWidth="1"/>
    <col min="14564" max="14564" width="14.28515625" customWidth="1"/>
    <col min="14565" max="14565" width="0.85546875" customWidth="1"/>
    <col min="14566" max="14566" width="16.5703125" bestFit="1" customWidth="1"/>
    <col min="14567" max="14567" width="13.42578125" bestFit="1" customWidth="1"/>
    <col min="14814" max="14814" width="4.85546875" bestFit="1" customWidth="1"/>
    <col min="14815" max="14815" width="5.85546875" bestFit="1" customWidth="1"/>
    <col min="14816" max="14816" width="7.42578125" bestFit="1" customWidth="1"/>
    <col min="14817" max="14817" width="8.140625" bestFit="1" customWidth="1"/>
    <col min="14818" max="14818" width="4.5703125" bestFit="1" customWidth="1"/>
    <col min="14819" max="14819" width="57.5703125" customWidth="1"/>
    <col min="14820" max="14820" width="14.28515625" customWidth="1"/>
    <col min="14821" max="14821" width="0.85546875" customWidth="1"/>
    <col min="14822" max="14822" width="16.5703125" bestFit="1" customWidth="1"/>
    <col min="14823" max="14823" width="13.42578125" bestFit="1" customWidth="1"/>
    <col min="15070" max="15070" width="4.85546875" bestFit="1" customWidth="1"/>
    <col min="15071" max="15071" width="5.85546875" bestFit="1" customWidth="1"/>
    <col min="15072" max="15072" width="7.42578125" bestFit="1" customWidth="1"/>
    <col min="15073" max="15073" width="8.140625" bestFit="1" customWidth="1"/>
    <col min="15074" max="15074" width="4.5703125" bestFit="1" customWidth="1"/>
    <col min="15075" max="15075" width="57.5703125" customWidth="1"/>
    <col min="15076" max="15076" width="14.28515625" customWidth="1"/>
    <col min="15077" max="15077" width="0.85546875" customWidth="1"/>
    <col min="15078" max="15078" width="16.5703125" bestFit="1" customWidth="1"/>
    <col min="15079" max="15079" width="13.42578125" bestFit="1" customWidth="1"/>
    <col min="15326" max="15326" width="4.85546875" bestFit="1" customWidth="1"/>
    <col min="15327" max="15327" width="5.85546875" bestFit="1" customWidth="1"/>
    <col min="15328" max="15328" width="7.42578125" bestFit="1" customWidth="1"/>
    <col min="15329" max="15329" width="8.140625" bestFit="1" customWidth="1"/>
    <col min="15330" max="15330" width="4.5703125" bestFit="1" customWidth="1"/>
    <col min="15331" max="15331" width="57.5703125" customWidth="1"/>
    <col min="15332" max="15332" width="14.28515625" customWidth="1"/>
    <col min="15333" max="15333" width="0.85546875" customWidth="1"/>
    <col min="15334" max="15334" width="16.5703125" bestFit="1" customWidth="1"/>
    <col min="15335" max="15335" width="13.42578125" bestFit="1" customWidth="1"/>
    <col min="15582" max="15582" width="4.85546875" bestFit="1" customWidth="1"/>
    <col min="15583" max="15583" width="5.85546875" bestFit="1" customWidth="1"/>
    <col min="15584" max="15584" width="7.42578125" bestFit="1" customWidth="1"/>
    <col min="15585" max="15585" width="8.140625" bestFit="1" customWidth="1"/>
    <col min="15586" max="15586" width="4.5703125" bestFit="1" customWidth="1"/>
    <col min="15587" max="15587" width="57.5703125" customWidth="1"/>
    <col min="15588" max="15588" width="14.28515625" customWidth="1"/>
    <col min="15589" max="15589" width="0.85546875" customWidth="1"/>
    <col min="15590" max="15590" width="16.5703125" bestFit="1" customWidth="1"/>
    <col min="15591" max="15591" width="13.42578125" bestFit="1" customWidth="1"/>
    <col min="15838" max="15838" width="4.85546875" bestFit="1" customWidth="1"/>
    <col min="15839" max="15839" width="5.85546875" bestFit="1" customWidth="1"/>
    <col min="15840" max="15840" width="7.42578125" bestFit="1" customWidth="1"/>
    <col min="15841" max="15841" width="8.140625" bestFit="1" customWidth="1"/>
    <col min="15842" max="15842" width="4.5703125" bestFit="1" customWidth="1"/>
    <col min="15843" max="15843" width="57.5703125" customWidth="1"/>
    <col min="15844" max="15844" width="14.28515625" customWidth="1"/>
    <col min="15845" max="15845" width="0.85546875" customWidth="1"/>
    <col min="15846" max="15846" width="16.5703125" bestFit="1" customWidth="1"/>
    <col min="15847" max="15847" width="13.42578125" bestFit="1" customWidth="1"/>
    <col min="16094" max="16094" width="4.85546875" bestFit="1" customWidth="1"/>
    <col min="16095" max="16095" width="5.85546875" bestFit="1" customWidth="1"/>
    <col min="16096" max="16096" width="7.42578125" bestFit="1" customWidth="1"/>
    <col min="16097" max="16097" width="8.140625" bestFit="1" customWidth="1"/>
    <col min="16098" max="16098" width="4.5703125" bestFit="1" customWidth="1"/>
    <col min="16099" max="16099" width="57.5703125" customWidth="1"/>
    <col min="16100" max="16100" width="14.28515625" customWidth="1"/>
    <col min="16101" max="16101" width="0.85546875" customWidth="1"/>
    <col min="16102" max="16102" width="16.5703125" bestFit="1" customWidth="1"/>
    <col min="16103" max="16103" width="13.42578125" bestFit="1" customWidth="1"/>
  </cols>
  <sheetData>
    <row r="1" spans="1:12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12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12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12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12" ht="20.25" x14ac:dyDescent="0.3">
      <c r="A5" s="265" t="str">
        <f>'[1]Estado de flujo de Efectivo'!A1:B1</f>
        <v>Consejo Económico y Social -CES-</v>
      </c>
      <c r="B5" s="265"/>
      <c r="C5" s="265"/>
      <c r="D5" s="265"/>
      <c r="E5" s="265"/>
      <c r="F5" s="265"/>
      <c r="G5" s="265"/>
      <c r="H5" s="265"/>
      <c r="I5" s="1"/>
    </row>
    <row r="6" spans="1:12" ht="20.25" x14ac:dyDescent="0.3">
      <c r="A6" s="265" t="s">
        <v>133</v>
      </c>
      <c r="B6" s="265"/>
      <c r="C6" s="265"/>
      <c r="D6" s="265"/>
      <c r="E6" s="265"/>
      <c r="F6" s="265"/>
      <c r="G6" s="265"/>
      <c r="H6" s="265"/>
      <c r="I6" s="1"/>
    </row>
    <row r="7" spans="1:12" ht="20.25" x14ac:dyDescent="0.3">
      <c r="A7" s="265" t="s">
        <v>0</v>
      </c>
      <c r="B7" s="265"/>
      <c r="C7" s="265"/>
      <c r="D7" s="265"/>
      <c r="E7" s="265"/>
      <c r="F7" s="265"/>
      <c r="G7" s="265"/>
      <c r="H7" s="265"/>
      <c r="I7" s="1"/>
    </row>
    <row r="8" spans="1:12" ht="18.75" customHeight="1" thickBot="1" x14ac:dyDescent="0.3">
      <c r="A8" s="66"/>
      <c r="B8" s="66"/>
      <c r="C8" s="66"/>
      <c r="D8" s="66"/>
      <c r="E8" s="67"/>
      <c r="F8" s="68"/>
      <c r="G8" s="69"/>
      <c r="H8" s="70"/>
      <c r="I8" s="1"/>
    </row>
    <row r="9" spans="1:12" ht="0.75" customHeight="1" thickBot="1" x14ac:dyDescent="0.3">
      <c r="A9" s="266" t="s">
        <v>1</v>
      </c>
      <c r="B9" s="267"/>
      <c r="C9" s="267"/>
      <c r="D9" s="267"/>
      <c r="E9" s="268"/>
      <c r="F9" s="74"/>
      <c r="G9" s="75" t="s">
        <v>2</v>
      </c>
      <c r="H9" s="76" t="s">
        <v>2</v>
      </c>
      <c r="I9" s="1"/>
    </row>
    <row r="10" spans="1:12" ht="49.5" customHeight="1" thickBot="1" x14ac:dyDescent="0.3">
      <c r="A10" s="71"/>
      <c r="B10" s="71"/>
      <c r="C10" s="72"/>
      <c r="D10" s="72"/>
      <c r="E10" s="73"/>
      <c r="F10" s="77"/>
      <c r="G10" s="78" t="s">
        <v>126</v>
      </c>
      <c r="H10" s="79" t="s">
        <v>127</v>
      </c>
      <c r="I10" s="2" t="s">
        <v>3</v>
      </c>
      <c r="J10" s="79" t="s">
        <v>130</v>
      </c>
      <c r="K10" s="79" t="s">
        <v>132</v>
      </c>
      <c r="L10" s="175" t="s">
        <v>128</v>
      </c>
    </row>
    <row r="11" spans="1:12" ht="32.25" thickBot="1" x14ac:dyDescent="0.3">
      <c r="A11" s="80" t="s">
        <v>4</v>
      </c>
      <c r="B11" s="78" t="s">
        <v>5</v>
      </c>
      <c r="C11" s="81" t="s">
        <v>6</v>
      </c>
      <c r="D11" s="78" t="s">
        <v>7</v>
      </c>
      <c r="E11" s="78" t="s">
        <v>8</v>
      </c>
      <c r="F11" s="71" t="s">
        <v>9</v>
      </c>
      <c r="G11" s="82" t="s">
        <v>10</v>
      </c>
      <c r="H11" s="83" t="s">
        <v>10</v>
      </c>
      <c r="I11" s="3" t="s">
        <v>10</v>
      </c>
      <c r="J11" s="83" t="s">
        <v>10</v>
      </c>
      <c r="K11" s="83" t="s">
        <v>10</v>
      </c>
      <c r="L11" s="83" t="s">
        <v>10</v>
      </c>
    </row>
    <row r="12" spans="1:12" ht="15.75" x14ac:dyDescent="0.25">
      <c r="A12" s="84"/>
      <c r="B12" s="85"/>
      <c r="C12" s="86"/>
      <c r="D12" s="87"/>
      <c r="E12" s="88"/>
      <c r="F12" s="89"/>
      <c r="G12" s="90"/>
      <c r="H12" s="91"/>
      <c r="I12" s="4"/>
      <c r="J12" s="91"/>
      <c r="K12" s="91"/>
      <c r="L12" s="91"/>
    </row>
    <row r="13" spans="1:12" ht="16.5" thickBot="1" x14ac:dyDescent="0.3">
      <c r="A13" s="85">
        <v>2</v>
      </c>
      <c r="B13" s="85">
        <v>1</v>
      </c>
      <c r="C13" s="92"/>
      <c r="D13" s="85"/>
      <c r="E13" s="93"/>
      <c r="F13" s="94" t="s">
        <v>11</v>
      </c>
      <c r="G13" s="95">
        <f>G14+G32+G39+G44-1</f>
        <v>23002832</v>
      </c>
      <c r="H13" s="165">
        <f>H14+H32+H39+H44</f>
        <v>1661145.73</v>
      </c>
      <c r="I13" s="5" t="e">
        <f>I14+I32+I39+I44</f>
        <v>#REF!</v>
      </c>
      <c r="J13" s="165">
        <f>J14+J32+J39+J44</f>
        <v>1673803.74</v>
      </c>
      <c r="K13" s="165">
        <f>K14+K32+K39+K44</f>
        <v>1673803.74</v>
      </c>
      <c r="L13" s="165">
        <f>L14+L32+L39+L44</f>
        <v>5008753.21</v>
      </c>
    </row>
    <row r="14" spans="1:12" ht="16.5" thickBot="1" x14ac:dyDescent="0.3">
      <c r="A14" s="85">
        <v>2</v>
      </c>
      <c r="B14" s="85">
        <v>1</v>
      </c>
      <c r="C14" s="92">
        <v>1</v>
      </c>
      <c r="D14" s="85"/>
      <c r="E14" s="93"/>
      <c r="F14" s="94" t="s">
        <v>12</v>
      </c>
      <c r="G14" s="96">
        <f t="shared" ref="G14:L14" si="0">G15+G18+G23+G26</f>
        <v>19031957</v>
      </c>
      <c r="H14" s="96">
        <f t="shared" si="0"/>
        <v>1454830</v>
      </c>
      <c r="I14" s="6" t="e">
        <f t="shared" si="0"/>
        <v>#REF!</v>
      </c>
      <c r="J14" s="96">
        <f t="shared" si="0"/>
        <v>1464830</v>
      </c>
      <c r="K14" s="96">
        <f t="shared" si="0"/>
        <v>1464830</v>
      </c>
      <c r="L14" s="96">
        <f t="shared" si="0"/>
        <v>4384490</v>
      </c>
    </row>
    <row r="15" spans="1:12" ht="16.5" thickBot="1" x14ac:dyDescent="0.3">
      <c r="A15" s="85">
        <v>2</v>
      </c>
      <c r="B15" s="85">
        <v>1</v>
      </c>
      <c r="C15" s="92">
        <v>1</v>
      </c>
      <c r="D15" s="85">
        <v>1</v>
      </c>
      <c r="E15" s="93"/>
      <c r="F15" s="94" t="s">
        <v>13</v>
      </c>
      <c r="G15" s="97">
        <f t="shared" ref="G15:L15" si="1">G16</f>
        <v>6300000</v>
      </c>
      <c r="H15" s="98">
        <f t="shared" si="1"/>
        <v>525000</v>
      </c>
      <c r="I15" s="7" t="e">
        <f t="shared" si="1"/>
        <v>#REF!</v>
      </c>
      <c r="J15" s="98">
        <f t="shared" si="1"/>
        <v>525000</v>
      </c>
      <c r="K15" s="98">
        <f t="shared" si="1"/>
        <v>525000</v>
      </c>
      <c r="L15" s="98">
        <f t="shared" si="1"/>
        <v>1575000</v>
      </c>
    </row>
    <row r="16" spans="1:12" ht="15.75" x14ac:dyDescent="0.25">
      <c r="A16" s="85">
        <v>2</v>
      </c>
      <c r="B16" s="85">
        <v>1</v>
      </c>
      <c r="C16" s="92">
        <v>1</v>
      </c>
      <c r="D16" s="85">
        <v>1</v>
      </c>
      <c r="E16" s="85">
        <v>1</v>
      </c>
      <c r="F16" s="99" t="s">
        <v>14</v>
      </c>
      <c r="G16" s="100">
        <v>6300000</v>
      </c>
      <c r="H16" s="101">
        <f>225000+300000</f>
        <v>525000</v>
      </c>
      <c r="I16" s="8" t="e">
        <f>+G16-#REF!</f>
        <v>#REF!</v>
      </c>
      <c r="J16" s="101">
        <f>225000+300000</f>
        <v>525000</v>
      </c>
      <c r="K16" s="101">
        <f>225000+300000</f>
        <v>525000</v>
      </c>
      <c r="L16" s="101">
        <f>+H16+J16+K16</f>
        <v>1575000</v>
      </c>
    </row>
    <row r="17" spans="1:12" ht="15.75" x14ac:dyDescent="0.25">
      <c r="A17" s="85"/>
      <c r="B17" s="85"/>
      <c r="C17" s="92"/>
      <c r="D17" s="85"/>
      <c r="E17" s="84"/>
      <c r="F17" s="99"/>
      <c r="G17" s="102"/>
      <c r="H17" s="103"/>
      <c r="I17" s="9"/>
      <c r="J17" s="103"/>
      <c r="K17" s="103"/>
      <c r="L17" s="103"/>
    </row>
    <row r="18" spans="1:12" ht="36" customHeight="1" thickBot="1" x14ac:dyDescent="0.3">
      <c r="A18" s="85">
        <v>2</v>
      </c>
      <c r="B18" s="85">
        <v>1</v>
      </c>
      <c r="C18" s="92">
        <v>1</v>
      </c>
      <c r="D18" s="85">
        <v>2</v>
      </c>
      <c r="E18" s="93"/>
      <c r="F18" s="104" t="s">
        <v>15</v>
      </c>
      <c r="G18" s="95">
        <f>G19</f>
        <v>11267960</v>
      </c>
      <c r="H18" s="105">
        <f>SUM(H19:H21)</f>
        <v>929830</v>
      </c>
      <c r="I18" s="10" t="e">
        <f>SUM(I19:I21)</f>
        <v>#REF!</v>
      </c>
      <c r="J18" s="105">
        <f>SUM(J19:J21)</f>
        <v>939830</v>
      </c>
      <c r="K18" s="105">
        <f>SUM(K19:K21)</f>
        <v>939830</v>
      </c>
      <c r="L18" s="105">
        <f>SUM(L19:L21)</f>
        <v>2809490</v>
      </c>
    </row>
    <row r="19" spans="1:12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1</v>
      </c>
      <c r="F19" s="106" t="s">
        <v>16</v>
      </c>
      <c r="G19" s="107">
        <v>11267960</v>
      </c>
      <c r="H19" s="103">
        <f>51400+75378+60885+73500+48920+80500+93500+73500+122117+110065+85065</f>
        <v>874830</v>
      </c>
      <c r="I19" s="9" t="e">
        <f>+G19-#REF!</f>
        <v>#REF!</v>
      </c>
      <c r="J19" s="103">
        <f>51400+75378+60885+73500+48920+80500+93500+73500+122117+110065+85065+65000</f>
        <v>939830</v>
      </c>
      <c r="K19" s="103">
        <f>51400+75378+60885+73500+48920+80500+93500+73500+122117+110065+85065+65000</f>
        <v>939830</v>
      </c>
      <c r="L19" s="103">
        <f>+H19+J19+K19</f>
        <v>2754490</v>
      </c>
    </row>
    <row r="20" spans="1:12" ht="15.75" x14ac:dyDescent="0.25">
      <c r="A20" s="85">
        <v>2</v>
      </c>
      <c r="B20" s="85">
        <v>1</v>
      </c>
      <c r="C20" s="92">
        <v>1</v>
      </c>
      <c r="D20" s="85">
        <v>2</v>
      </c>
      <c r="E20" s="85">
        <v>2</v>
      </c>
      <c r="F20" s="106" t="s">
        <v>17</v>
      </c>
      <c r="G20" s="102"/>
      <c r="H20" s="103"/>
      <c r="I20" s="9"/>
      <c r="J20" s="103"/>
      <c r="K20" s="103"/>
      <c r="L20" s="103">
        <f>+H20+J20</f>
        <v>0</v>
      </c>
    </row>
    <row r="21" spans="1:12" ht="15.75" x14ac:dyDescent="0.25">
      <c r="A21" s="85">
        <v>2</v>
      </c>
      <c r="B21" s="85">
        <v>1</v>
      </c>
      <c r="C21" s="92">
        <v>1</v>
      </c>
      <c r="D21" s="85">
        <v>2</v>
      </c>
      <c r="E21" s="85">
        <v>5</v>
      </c>
      <c r="F21" s="106" t="s">
        <v>18</v>
      </c>
      <c r="G21" s="108"/>
      <c r="H21" s="110">
        <v>55000</v>
      </c>
      <c r="I21" s="12" t="e">
        <f>+G21-#REF!</f>
        <v>#REF!</v>
      </c>
      <c r="J21" s="110"/>
      <c r="K21" s="110"/>
      <c r="L21" s="103">
        <f>+H21+J21+K21</f>
        <v>55000</v>
      </c>
    </row>
    <row r="22" spans="1:12" ht="15.75" x14ac:dyDescent="0.25">
      <c r="A22" s="85"/>
      <c r="B22" s="85"/>
      <c r="C22" s="92"/>
      <c r="D22" s="85"/>
      <c r="E22" s="85"/>
      <c r="F22" s="106"/>
      <c r="G22" s="108"/>
      <c r="H22" s="110" t="s">
        <v>19</v>
      </c>
      <c r="I22" s="12"/>
      <c r="J22" s="110" t="s">
        <v>19</v>
      </c>
      <c r="K22" s="110"/>
      <c r="L22" s="110" t="s">
        <v>19</v>
      </c>
    </row>
    <row r="23" spans="1:12" ht="16.5" thickBot="1" x14ac:dyDescent="0.3">
      <c r="A23" s="85">
        <v>2</v>
      </c>
      <c r="B23" s="85">
        <v>1</v>
      </c>
      <c r="C23" s="92">
        <v>1</v>
      </c>
      <c r="D23" s="85">
        <v>4</v>
      </c>
      <c r="E23" s="93"/>
      <c r="F23" s="104" t="s">
        <v>20</v>
      </c>
      <c r="G23" s="95">
        <f t="shared" ref="G23:L23" si="2">G24</f>
        <v>1463997</v>
      </c>
      <c r="H23" s="96">
        <f t="shared" si="2"/>
        <v>0</v>
      </c>
      <c r="I23" s="6" t="e">
        <f t="shared" si="2"/>
        <v>#REF!</v>
      </c>
      <c r="J23" s="96">
        <f t="shared" si="2"/>
        <v>0</v>
      </c>
      <c r="K23" s="96">
        <f t="shared" si="2"/>
        <v>0</v>
      </c>
      <c r="L23" s="96">
        <f t="shared" si="2"/>
        <v>0</v>
      </c>
    </row>
    <row r="24" spans="1:12" ht="15.75" x14ac:dyDescent="0.25">
      <c r="A24" s="85">
        <v>2</v>
      </c>
      <c r="B24" s="85">
        <v>1</v>
      </c>
      <c r="C24" s="92">
        <v>1</v>
      </c>
      <c r="D24" s="85">
        <v>4</v>
      </c>
      <c r="E24" s="85">
        <v>1</v>
      </c>
      <c r="F24" s="106" t="s">
        <v>21</v>
      </c>
      <c r="G24" s="107">
        <v>1463997</v>
      </c>
      <c r="H24" s="109">
        <v>0</v>
      </c>
      <c r="I24" s="13" t="e">
        <f>+G24-#REF!</f>
        <v>#REF!</v>
      </c>
      <c r="J24" s="109">
        <v>0</v>
      </c>
      <c r="K24" s="109"/>
      <c r="L24" s="109">
        <f>+H24+J24+K24</f>
        <v>0</v>
      </c>
    </row>
    <row r="25" spans="1:12" ht="15.75" x14ac:dyDescent="0.25">
      <c r="A25" s="85"/>
      <c r="B25" s="85"/>
      <c r="C25" s="92"/>
      <c r="D25" s="85"/>
      <c r="E25" s="85"/>
      <c r="F25" s="106"/>
      <c r="G25" s="108"/>
      <c r="H25" s="110"/>
      <c r="I25" s="12"/>
      <c r="J25" s="110"/>
      <c r="K25" s="110"/>
      <c r="L25" s="110"/>
    </row>
    <row r="26" spans="1:12" ht="16.5" thickBot="1" x14ac:dyDescent="0.3">
      <c r="A26" s="85">
        <v>2</v>
      </c>
      <c r="B26" s="85">
        <v>1</v>
      </c>
      <c r="C26" s="92">
        <v>1</v>
      </c>
      <c r="D26" s="85">
        <v>5</v>
      </c>
      <c r="E26" s="93"/>
      <c r="F26" s="104" t="s">
        <v>22</v>
      </c>
      <c r="G26" s="111">
        <f>G27+G30</f>
        <v>0</v>
      </c>
      <c r="H26" s="105">
        <f>H27+H28+H29+H30</f>
        <v>0</v>
      </c>
      <c r="I26" s="10">
        <f>I27+I28+I29+I30</f>
        <v>0</v>
      </c>
      <c r="J26" s="105">
        <f>J27+J28+J29+J30</f>
        <v>0</v>
      </c>
      <c r="K26" s="105">
        <f>K27+K28+K29+K30</f>
        <v>0</v>
      </c>
      <c r="L26" s="105">
        <f>L27+L28+L29+L30</f>
        <v>0</v>
      </c>
    </row>
    <row r="27" spans="1:12" ht="15.75" x14ac:dyDescent="0.25">
      <c r="A27" s="85">
        <v>2</v>
      </c>
      <c r="B27" s="85">
        <v>1</v>
      </c>
      <c r="C27" s="92">
        <v>1</v>
      </c>
      <c r="D27" s="85">
        <v>5</v>
      </c>
      <c r="E27" s="85">
        <v>1</v>
      </c>
      <c r="F27" s="106" t="s">
        <v>22</v>
      </c>
      <c r="G27" s="108"/>
      <c r="H27" s="110">
        <v>0</v>
      </c>
      <c r="I27" s="12">
        <v>0</v>
      </c>
      <c r="J27" s="110">
        <v>0</v>
      </c>
      <c r="K27" s="110"/>
      <c r="L27" s="110">
        <f>+H27+J27+K27</f>
        <v>0</v>
      </c>
    </row>
    <row r="28" spans="1:12" ht="31.5" x14ac:dyDescent="0.25">
      <c r="A28" s="85">
        <v>2</v>
      </c>
      <c r="B28" s="85">
        <v>1</v>
      </c>
      <c r="C28" s="92">
        <v>1</v>
      </c>
      <c r="D28" s="85">
        <v>5</v>
      </c>
      <c r="E28" s="85">
        <v>2</v>
      </c>
      <c r="F28" s="106" t="s">
        <v>23</v>
      </c>
      <c r="G28" s="108"/>
      <c r="H28" s="110">
        <v>0</v>
      </c>
      <c r="I28" s="12">
        <v>0</v>
      </c>
      <c r="J28" s="110">
        <v>0</v>
      </c>
      <c r="K28" s="110"/>
      <c r="L28" s="110">
        <f>+H28+J28+K28</f>
        <v>0</v>
      </c>
    </row>
    <row r="29" spans="1:12" ht="15.75" x14ac:dyDescent="0.25">
      <c r="A29" s="85">
        <v>2</v>
      </c>
      <c r="B29" s="85">
        <v>1</v>
      </c>
      <c r="C29" s="92">
        <v>1</v>
      </c>
      <c r="D29" s="85">
        <v>5</v>
      </c>
      <c r="E29" s="85">
        <v>3</v>
      </c>
      <c r="F29" s="106" t="s">
        <v>24</v>
      </c>
      <c r="G29" s="108"/>
      <c r="H29" s="110">
        <v>0</v>
      </c>
      <c r="I29" s="12">
        <v>0</v>
      </c>
      <c r="J29" s="110">
        <v>0</v>
      </c>
      <c r="K29" s="110"/>
      <c r="L29" s="110">
        <f>+H29+J29+K29</f>
        <v>0</v>
      </c>
    </row>
    <row r="30" spans="1:12" ht="15.75" x14ac:dyDescent="0.25">
      <c r="A30" s="85">
        <v>2</v>
      </c>
      <c r="B30" s="85">
        <v>1</v>
      </c>
      <c r="C30" s="92">
        <v>1</v>
      </c>
      <c r="D30" s="85">
        <v>5</v>
      </c>
      <c r="E30" s="85">
        <v>4</v>
      </c>
      <c r="F30" s="106" t="s">
        <v>25</v>
      </c>
      <c r="G30" s="108"/>
      <c r="H30" s="110"/>
      <c r="I30" s="12"/>
      <c r="J30" s="110"/>
      <c r="K30" s="110"/>
      <c r="L30" s="110"/>
    </row>
    <row r="31" spans="1:12" ht="16.5" thickBot="1" x14ac:dyDescent="0.3">
      <c r="A31" s="85"/>
      <c r="B31" s="85"/>
      <c r="C31" s="92"/>
      <c r="D31" s="85"/>
      <c r="E31" s="85"/>
      <c r="F31" s="106"/>
      <c r="G31" s="108"/>
      <c r="H31" s="110"/>
      <c r="I31" s="12"/>
      <c r="J31" s="110"/>
      <c r="K31" s="110"/>
      <c r="L31" s="110"/>
    </row>
    <row r="32" spans="1:12" ht="16.5" thickBot="1" x14ac:dyDescent="0.3">
      <c r="A32" s="85">
        <v>2</v>
      </c>
      <c r="B32" s="85">
        <v>1</v>
      </c>
      <c r="C32" s="92">
        <v>2</v>
      </c>
      <c r="D32" s="85"/>
      <c r="E32" s="85"/>
      <c r="F32" s="104" t="s">
        <v>26</v>
      </c>
      <c r="G32" s="112">
        <f t="shared" ref="G32:L32" si="3">G33</f>
        <v>1463997</v>
      </c>
      <c r="H32" s="113">
        <f t="shared" si="3"/>
        <v>0</v>
      </c>
      <c r="I32" s="14" t="e">
        <f t="shared" si="3"/>
        <v>#REF!</v>
      </c>
      <c r="J32" s="113">
        <f t="shared" si="3"/>
        <v>0</v>
      </c>
      <c r="K32" s="113">
        <f t="shared" si="3"/>
        <v>0</v>
      </c>
      <c r="L32" s="113">
        <f t="shared" si="3"/>
        <v>0</v>
      </c>
    </row>
    <row r="33" spans="1:12" ht="16.5" thickBot="1" x14ac:dyDescent="0.3">
      <c r="A33" s="85">
        <v>2</v>
      </c>
      <c r="B33" s="85">
        <v>1</v>
      </c>
      <c r="C33" s="85">
        <v>2</v>
      </c>
      <c r="D33" s="85">
        <v>2</v>
      </c>
      <c r="E33" s="85"/>
      <c r="F33" s="104" t="s">
        <v>27</v>
      </c>
      <c r="G33" s="95">
        <f>G34+G35+G36</f>
        <v>1463997</v>
      </c>
      <c r="H33" s="113">
        <f>H36</f>
        <v>0</v>
      </c>
      <c r="I33" s="15" t="e">
        <f>I36</f>
        <v>#REF!</v>
      </c>
      <c r="J33" s="113">
        <f>J36</f>
        <v>0</v>
      </c>
      <c r="K33" s="113">
        <f>K36</f>
        <v>0</v>
      </c>
      <c r="L33" s="113">
        <f>L36</f>
        <v>0</v>
      </c>
    </row>
    <row r="34" spans="1:12" ht="31.5" x14ac:dyDescent="0.25">
      <c r="A34" s="85">
        <v>2</v>
      </c>
      <c r="B34" s="85">
        <v>1</v>
      </c>
      <c r="C34" s="85">
        <v>2</v>
      </c>
      <c r="D34" s="85">
        <v>2</v>
      </c>
      <c r="E34" s="85">
        <v>2</v>
      </c>
      <c r="F34" s="104" t="s">
        <v>28</v>
      </c>
      <c r="G34" s="114"/>
      <c r="H34" s="96">
        <v>0</v>
      </c>
      <c r="I34" s="6">
        <v>0</v>
      </c>
      <c r="J34" s="96">
        <v>0</v>
      </c>
      <c r="K34" s="96">
        <v>0</v>
      </c>
      <c r="L34" s="96">
        <f>+H34+J34+K34</f>
        <v>0</v>
      </c>
    </row>
    <row r="35" spans="1:12" ht="15.75" x14ac:dyDescent="0.25">
      <c r="A35" s="85">
        <v>2</v>
      </c>
      <c r="B35" s="85">
        <v>1</v>
      </c>
      <c r="C35" s="85">
        <v>2</v>
      </c>
      <c r="D35" s="85">
        <v>2</v>
      </c>
      <c r="E35" s="85">
        <v>4</v>
      </c>
      <c r="F35" s="106" t="s">
        <v>29</v>
      </c>
      <c r="G35" s="108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f>+H35+J35+K35</f>
        <v>0</v>
      </c>
    </row>
    <row r="36" spans="1:12" ht="15.75" x14ac:dyDescent="0.25">
      <c r="A36" s="85">
        <v>2</v>
      </c>
      <c r="B36" s="85">
        <v>1</v>
      </c>
      <c r="C36" s="85">
        <v>2</v>
      </c>
      <c r="D36" s="85">
        <v>2</v>
      </c>
      <c r="E36" s="85">
        <v>15</v>
      </c>
      <c r="F36" s="106" t="s">
        <v>30</v>
      </c>
      <c r="G36" s="108">
        <v>1463997</v>
      </c>
      <c r="H36" s="110"/>
      <c r="I36" s="12" t="e">
        <f>+G36-#REF!</f>
        <v>#REF!</v>
      </c>
      <c r="J36" s="110"/>
      <c r="K36" s="110"/>
      <c r="L36" s="110">
        <f>+H36+J36+K36</f>
        <v>0</v>
      </c>
    </row>
    <row r="37" spans="1:12" ht="15.75" x14ac:dyDescent="0.25">
      <c r="A37" s="85"/>
      <c r="B37" s="85"/>
      <c r="C37" s="92"/>
      <c r="D37" s="85"/>
      <c r="E37" s="85"/>
      <c r="F37" s="106"/>
      <c r="G37" s="108"/>
      <c r="H37" s="110"/>
      <c r="I37" s="12"/>
      <c r="J37" s="110"/>
      <c r="K37" s="110"/>
      <c r="L37" s="110"/>
    </row>
    <row r="38" spans="1:12" ht="15.75" x14ac:dyDescent="0.25">
      <c r="A38" s="85"/>
      <c r="B38" s="85"/>
      <c r="C38" s="92"/>
      <c r="D38" s="85"/>
      <c r="E38" s="85"/>
      <c r="F38" s="106"/>
      <c r="G38" s="108"/>
      <c r="H38" s="110"/>
      <c r="I38" s="12"/>
      <c r="J38" s="110"/>
      <c r="K38" s="110"/>
      <c r="L38" s="110"/>
    </row>
    <row r="39" spans="1:12" ht="16.5" thickBot="1" x14ac:dyDescent="0.3">
      <c r="A39" s="85">
        <v>2</v>
      </c>
      <c r="B39" s="85">
        <v>1</v>
      </c>
      <c r="C39" s="92">
        <v>3</v>
      </c>
      <c r="D39" s="85"/>
      <c r="E39" s="85"/>
      <c r="F39" s="104" t="s">
        <v>31</v>
      </c>
      <c r="G39" s="108"/>
      <c r="H39" s="110"/>
      <c r="I39" s="12"/>
      <c r="J39" s="110"/>
      <c r="K39" s="110"/>
      <c r="L39" s="110"/>
    </row>
    <row r="40" spans="1:12" ht="16.5" thickBot="1" x14ac:dyDescent="0.3">
      <c r="A40" s="85">
        <v>2</v>
      </c>
      <c r="B40" s="85">
        <v>1</v>
      </c>
      <c r="C40" s="92">
        <v>3</v>
      </c>
      <c r="D40" s="85">
        <v>1</v>
      </c>
      <c r="E40" s="93"/>
      <c r="F40" s="104" t="s">
        <v>32</v>
      </c>
      <c r="G40" s="97">
        <f t="shared" ref="G40:L40" si="4">G41+G42</f>
        <v>0</v>
      </c>
      <c r="H40" s="98">
        <f t="shared" si="4"/>
        <v>0</v>
      </c>
      <c r="I40" s="16">
        <f t="shared" si="4"/>
        <v>0</v>
      </c>
      <c r="J40" s="98">
        <f t="shared" si="4"/>
        <v>0</v>
      </c>
      <c r="K40" s="98">
        <f t="shared" si="4"/>
        <v>0</v>
      </c>
      <c r="L40" s="98">
        <f t="shared" si="4"/>
        <v>0</v>
      </c>
    </row>
    <row r="41" spans="1:12" ht="15.75" x14ac:dyDescent="0.25">
      <c r="A41" s="85">
        <v>2</v>
      </c>
      <c r="B41" s="85">
        <v>1</v>
      </c>
      <c r="C41" s="92">
        <v>3</v>
      </c>
      <c r="D41" s="85">
        <v>1</v>
      </c>
      <c r="E41" s="85">
        <v>1</v>
      </c>
      <c r="F41" s="106" t="s">
        <v>33</v>
      </c>
      <c r="G41" s="107"/>
      <c r="H41" s="110">
        <f t="shared" ref="H41:K42" si="5">G41*12</f>
        <v>0</v>
      </c>
      <c r="I41" s="110">
        <f t="shared" si="5"/>
        <v>0</v>
      </c>
      <c r="J41" s="110">
        <f t="shared" si="5"/>
        <v>0</v>
      </c>
      <c r="K41" s="110">
        <f t="shared" si="5"/>
        <v>0</v>
      </c>
      <c r="L41" s="110">
        <f>+H41+J41+K41</f>
        <v>0</v>
      </c>
    </row>
    <row r="42" spans="1:12" ht="15.75" x14ac:dyDescent="0.25">
      <c r="A42" s="85">
        <v>2</v>
      </c>
      <c r="B42" s="85">
        <v>1</v>
      </c>
      <c r="C42" s="92">
        <v>3</v>
      </c>
      <c r="D42" s="85">
        <v>1</v>
      </c>
      <c r="E42" s="85">
        <v>2</v>
      </c>
      <c r="F42" s="106" t="s">
        <v>34</v>
      </c>
      <c r="G42" s="108"/>
      <c r="H42" s="110">
        <f t="shared" si="5"/>
        <v>0</v>
      </c>
      <c r="I42" s="110">
        <f t="shared" si="5"/>
        <v>0</v>
      </c>
      <c r="J42" s="110">
        <f t="shared" si="5"/>
        <v>0</v>
      </c>
      <c r="K42" s="110">
        <f t="shared" si="5"/>
        <v>0</v>
      </c>
      <c r="L42" s="110">
        <f>+H42+J42+K42</f>
        <v>0</v>
      </c>
    </row>
    <row r="43" spans="1:12" s="17" customFormat="1" ht="15.75" x14ac:dyDescent="0.25">
      <c r="A43" s="85"/>
      <c r="B43" s="85"/>
      <c r="C43" s="92"/>
      <c r="D43" s="85"/>
      <c r="E43" s="85"/>
      <c r="F43" s="106"/>
      <c r="G43" s="108"/>
      <c r="H43" s="110"/>
      <c r="I43" s="12"/>
      <c r="J43" s="110"/>
      <c r="K43" s="110"/>
      <c r="L43" s="110"/>
    </row>
    <row r="44" spans="1:12" ht="32.25" thickBot="1" x14ac:dyDescent="0.3">
      <c r="A44" s="85">
        <v>2</v>
      </c>
      <c r="B44" s="115">
        <v>1</v>
      </c>
      <c r="C44" s="116">
        <v>5</v>
      </c>
      <c r="D44" s="93"/>
      <c r="E44" s="93"/>
      <c r="F44" s="104" t="s">
        <v>35</v>
      </c>
      <c r="G44" s="95">
        <f t="shared" ref="G44:L44" si="6">SUM(G45:G47)</f>
        <v>2506879</v>
      </c>
      <c r="H44" s="96">
        <f t="shared" si="6"/>
        <v>206315.72999999998</v>
      </c>
      <c r="I44" s="6" t="e">
        <f t="shared" si="6"/>
        <v>#REF!</v>
      </c>
      <c r="J44" s="96">
        <f t="shared" si="6"/>
        <v>208973.74</v>
      </c>
      <c r="K44" s="96">
        <f t="shared" si="6"/>
        <v>208973.74</v>
      </c>
      <c r="L44" s="96">
        <f t="shared" si="6"/>
        <v>624263.21</v>
      </c>
    </row>
    <row r="45" spans="1:12" ht="15.75" x14ac:dyDescent="0.25">
      <c r="A45" s="85">
        <v>2</v>
      </c>
      <c r="B45" s="85">
        <v>1</v>
      </c>
      <c r="C45" s="92">
        <v>5</v>
      </c>
      <c r="D45" s="85">
        <v>1</v>
      </c>
      <c r="E45" s="85"/>
      <c r="F45" s="99" t="s">
        <v>36</v>
      </c>
      <c r="G45" s="107">
        <v>1128795</v>
      </c>
      <c r="H45" s="109">
        <v>92444.4</v>
      </c>
      <c r="I45" s="13" t="e">
        <f>+G45-#REF!</f>
        <v>#REF!</v>
      </c>
      <c r="J45" s="109">
        <v>94075.8</v>
      </c>
      <c r="K45" s="109">
        <v>94075.8</v>
      </c>
      <c r="L45" s="109">
        <f>+H45+J45+K45</f>
        <v>280596</v>
      </c>
    </row>
    <row r="46" spans="1:12" ht="15.75" x14ac:dyDescent="0.25">
      <c r="A46" s="85">
        <v>2</v>
      </c>
      <c r="B46" s="85">
        <v>1</v>
      </c>
      <c r="C46" s="92">
        <v>5</v>
      </c>
      <c r="D46" s="85">
        <v>2</v>
      </c>
      <c r="E46" s="85"/>
      <c r="F46" s="99" t="s">
        <v>37</v>
      </c>
      <c r="G46" s="108">
        <v>1247325</v>
      </c>
      <c r="H46" s="110">
        <v>103292.95</v>
      </c>
      <c r="I46" s="12" t="e">
        <f>+G46-#REF!</f>
        <v>#REF!</v>
      </c>
      <c r="J46" s="110">
        <v>104002.95</v>
      </c>
      <c r="K46" s="110">
        <v>104002.95</v>
      </c>
      <c r="L46" s="110">
        <f>+H46+J46+K46</f>
        <v>311298.84999999998</v>
      </c>
    </row>
    <row r="47" spans="1:12" ht="15.75" x14ac:dyDescent="0.25">
      <c r="A47" s="85">
        <v>2</v>
      </c>
      <c r="B47" s="85">
        <v>1</v>
      </c>
      <c r="C47" s="92">
        <v>5</v>
      </c>
      <c r="D47" s="85">
        <v>3</v>
      </c>
      <c r="E47" s="85"/>
      <c r="F47" s="106" t="s">
        <v>38</v>
      </c>
      <c r="G47" s="108">
        <v>130759</v>
      </c>
      <c r="H47" s="110">
        <v>10578.38</v>
      </c>
      <c r="I47" s="12" t="e">
        <f>+G47-#REF!</f>
        <v>#REF!</v>
      </c>
      <c r="J47" s="110">
        <v>10894.99</v>
      </c>
      <c r="K47" s="110">
        <v>10894.99</v>
      </c>
      <c r="L47" s="110">
        <f>+H47+J47+K47</f>
        <v>32368.36</v>
      </c>
    </row>
    <row r="48" spans="1:12" ht="15.75" x14ac:dyDescent="0.25">
      <c r="A48" s="85"/>
      <c r="B48" s="85"/>
      <c r="C48" s="92"/>
      <c r="D48" s="85"/>
      <c r="E48" s="85"/>
      <c r="F48" s="106"/>
      <c r="G48" s="108"/>
      <c r="H48" s="110"/>
      <c r="I48" s="12"/>
      <c r="J48" s="110"/>
      <c r="K48" s="110"/>
      <c r="L48" s="110"/>
    </row>
    <row r="49" spans="1:12" ht="16.5" thickBot="1" x14ac:dyDescent="0.3">
      <c r="A49" s="85">
        <v>2</v>
      </c>
      <c r="B49" s="85">
        <v>2</v>
      </c>
      <c r="C49" s="92"/>
      <c r="D49" s="85"/>
      <c r="E49" s="93"/>
      <c r="F49" s="94" t="s">
        <v>39</v>
      </c>
      <c r="G49" s="95">
        <f t="shared" ref="G49:L49" si="7">G50+G58+G62+G66+G70+G84+G92+G79+G107</f>
        <v>18307031</v>
      </c>
      <c r="H49" s="105">
        <f t="shared" si="7"/>
        <v>1340446.24</v>
      </c>
      <c r="I49" s="10" t="e">
        <f t="shared" si="7"/>
        <v>#REF!</v>
      </c>
      <c r="J49" s="105">
        <f t="shared" si="7"/>
        <v>1520971.4000000001</v>
      </c>
      <c r="K49" s="105">
        <f t="shared" si="7"/>
        <v>1562030.84</v>
      </c>
      <c r="L49" s="105">
        <f t="shared" si="7"/>
        <v>4423448.4800000004</v>
      </c>
    </row>
    <row r="50" spans="1:12" ht="16.5" thickBot="1" x14ac:dyDescent="0.3">
      <c r="A50" s="85">
        <v>2</v>
      </c>
      <c r="B50" s="85">
        <v>2</v>
      </c>
      <c r="C50" s="92">
        <v>1</v>
      </c>
      <c r="D50" s="85"/>
      <c r="E50" s="93"/>
      <c r="F50" s="94" t="s">
        <v>40</v>
      </c>
      <c r="G50" s="112">
        <f t="shared" ref="G50:L50" si="8">G51+G52+G53+G55</f>
        <v>1401915</v>
      </c>
      <c r="H50" s="96">
        <f t="shared" si="8"/>
        <v>122900.01999999999</v>
      </c>
      <c r="I50" s="6" t="e">
        <f t="shared" si="8"/>
        <v>#REF!</v>
      </c>
      <c r="J50" s="96">
        <f t="shared" si="8"/>
        <v>121985.62</v>
      </c>
      <c r="K50" s="96">
        <f t="shared" si="8"/>
        <v>120045.4</v>
      </c>
      <c r="L50" s="96">
        <f t="shared" si="8"/>
        <v>364931.04</v>
      </c>
    </row>
    <row r="51" spans="1:12" ht="15.75" x14ac:dyDescent="0.25">
      <c r="A51" s="85">
        <v>2</v>
      </c>
      <c r="B51" s="85">
        <v>2</v>
      </c>
      <c r="C51" s="92">
        <v>1</v>
      </c>
      <c r="D51" s="85">
        <v>3</v>
      </c>
      <c r="E51" s="85"/>
      <c r="F51" s="99" t="s">
        <v>41</v>
      </c>
      <c r="G51" s="107">
        <v>336000</v>
      </c>
      <c r="H51" s="109">
        <f>47963.82+22207.42+2155</f>
        <v>72326.239999999991</v>
      </c>
      <c r="I51" s="13" t="e">
        <f>+G51-#REF!</f>
        <v>#REF!</v>
      </c>
      <c r="J51" s="109">
        <f>8785.14+2212.21+22518.17+31889</f>
        <v>65404.52</v>
      </c>
      <c r="K51" s="109">
        <f>31889+22264.93+2041</f>
        <v>56194.93</v>
      </c>
      <c r="L51" s="109">
        <f>+H51+J51+K51</f>
        <v>193925.68999999997</v>
      </c>
    </row>
    <row r="52" spans="1:12" ht="15.75" x14ac:dyDescent="0.25">
      <c r="A52" s="85">
        <v>2</v>
      </c>
      <c r="B52" s="85">
        <v>2</v>
      </c>
      <c r="C52" s="92">
        <v>1</v>
      </c>
      <c r="D52" s="85">
        <v>4</v>
      </c>
      <c r="E52" s="85"/>
      <c r="F52" s="99" t="s">
        <v>42</v>
      </c>
      <c r="G52" s="108">
        <v>47822</v>
      </c>
      <c r="H52" s="110"/>
      <c r="I52" s="12"/>
      <c r="J52" s="110"/>
      <c r="K52" s="110"/>
      <c r="L52" s="110"/>
    </row>
    <row r="53" spans="1:12" ht="15.75" x14ac:dyDescent="0.25">
      <c r="A53" s="85">
        <v>2</v>
      </c>
      <c r="B53" s="85">
        <v>2</v>
      </c>
      <c r="C53" s="92">
        <v>1</v>
      </c>
      <c r="D53" s="85">
        <v>5</v>
      </c>
      <c r="E53" s="85"/>
      <c r="F53" s="99" t="s">
        <v>43</v>
      </c>
      <c r="G53" s="108">
        <v>346093</v>
      </c>
      <c r="H53" s="110"/>
      <c r="I53" s="12" t="e">
        <f>+G53-#REF!</f>
        <v>#REF!</v>
      </c>
      <c r="J53" s="110"/>
      <c r="K53" s="110">
        <v>9289.85</v>
      </c>
      <c r="L53" s="110">
        <f>+H53+J53+K53</f>
        <v>9289.85</v>
      </c>
    </row>
    <row r="54" spans="1:12" ht="15.75" x14ac:dyDescent="0.25">
      <c r="A54" s="85"/>
      <c r="B54" s="85"/>
      <c r="C54" s="92"/>
      <c r="D54" s="85"/>
      <c r="E54" s="85"/>
      <c r="F54" s="99"/>
      <c r="G54" s="108"/>
      <c r="H54" s="110"/>
      <c r="I54" s="12"/>
      <c r="J54" s="110"/>
      <c r="K54" s="110"/>
      <c r="L54" s="110"/>
    </row>
    <row r="55" spans="1:12" ht="16.5" thickBot="1" x14ac:dyDescent="0.3">
      <c r="A55" s="85">
        <v>2</v>
      </c>
      <c r="B55" s="85">
        <v>2</v>
      </c>
      <c r="C55" s="92">
        <v>1</v>
      </c>
      <c r="D55" s="85">
        <v>6</v>
      </c>
      <c r="E55" s="85"/>
      <c r="F55" s="104" t="s">
        <v>44</v>
      </c>
      <c r="G55" s="95">
        <f t="shared" ref="G55:L55" si="9">G56</f>
        <v>672000</v>
      </c>
      <c r="H55" s="117">
        <f t="shared" si="9"/>
        <v>50573.78</v>
      </c>
      <c r="I55" s="19" t="e">
        <f t="shared" si="9"/>
        <v>#REF!</v>
      </c>
      <c r="J55" s="117">
        <f t="shared" si="9"/>
        <v>56581.1</v>
      </c>
      <c r="K55" s="117">
        <f t="shared" si="9"/>
        <v>54560.62</v>
      </c>
      <c r="L55" s="117">
        <f t="shared" si="9"/>
        <v>161715.5</v>
      </c>
    </row>
    <row r="56" spans="1:12" ht="15.75" x14ac:dyDescent="0.25">
      <c r="A56" s="85">
        <v>2</v>
      </c>
      <c r="B56" s="85">
        <v>2</v>
      </c>
      <c r="C56" s="92">
        <v>1</v>
      </c>
      <c r="D56" s="85">
        <v>6</v>
      </c>
      <c r="E56" s="85">
        <v>1</v>
      </c>
      <c r="F56" s="99" t="s">
        <v>45</v>
      </c>
      <c r="G56" s="107">
        <v>672000</v>
      </c>
      <c r="H56" s="110">
        <v>50573.78</v>
      </c>
      <c r="I56" s="13" t="e">
        <f>+G56-#REF!</f>
        <v>#REF!</v>
      </c>
      <c r="J56" s="110">
        <v>56581.1</v>
      </c>
      <c r="K56" s="110">
        <v>54560.62</v>
      </c>
      <c r="L56" s="110">
        <f>+H56+J56+K56</f>
        <v>161715.5</v>
      </c>
    </row>
    <row r="57" spans="1:12" ht="15.75" x14ac:dyDescent="0.25">
      <c r="A57" s="85"/>
      <c r="B57" s="85"/>
      <c r="C57" s="92"/>
      <c r="D57" s="85"/>
      <c r="E57" s="85"/>
      <c r="F57" s="99"/>
      <c r="G57" s="108"/>
      <c r="H57" s="110"/>
      <c r="I57" s="12"/>
      <c r="J57" s="110"/>
      <c r="K57" s="110"/>
      <c r="L57" s="110"/>
    </row>
    <row r="58" spans="1:12" ht="32.25" thickBot="1" x14ac:dyDescent="0.3">
      <c r="A58" s="85">
        <v>2</v>
      </c>
      <c r="B58" s="85">
        <v>2</v>
      </c>
      <c r="C58" s="92">
        <v>2</v>
      </c>
      <c r="D58" s="85"/>
      <c r="E58" s="85"/>
      <c r="F58" s="104" t="s">
        <v>46</v>
      </c>
      <c r="G58" s="95">
        <f>SUM(G59:G60)</f>
        <v>175500</v>
      </c>
      <c r="H58" s="96">
        <f>H59+H60</f>
        <v>0</v>
      </c>
      <c r="I58" s="20" t="e">
        <f>I59+I60</f>
        <v>#REF!</v>
      </c>
      <c r="J58" s="96">
        <f>J59+J60</f>
        <v>3325</v>
      </c>
      <c r="K58" s="96">
        <f>K59+K60</f>
        <v>7450</v>
      </c>
      <c r="L58" s="96">
        <f>L59+L60</f>
        <v>10775</v>
      </c>
    </row>
    <row r="59" spans="1:12" ht="15.75" x14ac:dyDescent="0.25">
      <c r="A59" s="85">
        <v>2</v>
      </c>
      <c r="B59" s="85">
        <v>2</v>
      </c>
      <c r="C59" s="92">
        <v>2</v>
      </c>
      <c r="D59" s="85">
        <v>1</v>
      </c>
      <c r="E59" s="85"/>
      <c r="F59" s="106" t="s">
        <v>47</v>
      </c>
      <c r="G59" s="107">
        <v>175500</v>
      </c>
      <c r="H59" s="109"/>
      <c r="I59" s="12" t="e">
        <f>+G59-#REF!</f>
        <v>#REF!</v>
      </c>
      <c r="J59" s="109">
        <v>3100</v>
      </c>
      <c r="K59" s="109">
        <v>3450</v>
      </c>
      <c r="L59" s="109">
        <f>+H59+J59+K59</f>
        <v>6550</v>
      </c>
    </row>
    <row r="60" spans="1:12" ht="15.75" x14ac:dyDescent="0.25">
      <c r="A60" s="85">
        <v>2</v>
      </c>
      <c r="B60" s="85">
        <v>2</v>
      </c>
      <c r="C60" s="92">
        <v>2</v>
      </c>
      <c r="D60" s="85">
        <v>2</v>
      </c>
      <c r="E60" s="85"/>
      <c r="F60" s="106" t="s">
        <v>48</v>
      </c>
      <c r="G60" s="108"/>
      <c r="H60" s="110"/>
      <c r="I60" s="12" t="e">
        <f>+G60-#REF!</f>
        <v>#REF!</v>
      </c>
      <c r="J60" s="110">
        <v>225</v>
      </c>
      <c r="K60" s="110">
        <v>4000</v>
      </c>
      <c r="L60" s="110">
        <f>+H60+J60+K60</f>
        <v>4225</v>
      </c>
    </row>
    <row r="61" spans="1:12" ht="15.75" x14ac:dyDescent="0.25">
      <c r="A61" s="85"/>
      <c r="B61" s="85"/>
      <c r="C61" s="92"/>
      <c r="D61" s="85"/>
      <c r="E61" s="85"/>
      <c r="F61" s="99"/>
      <c r="G61" s="108"/>
      <c r="H61" s="110"/>
      <c r="I61" s="12"/>
      <c r="J61" s="110"/>
      <c r="K61" s="110"/>
      <c r="L61" s="110"/>
    </row>
    <row r="62" spans="1:12" ht="16.5" thickBot="1" x14ac:dyDescent="0.3">
      <c r="A62" s="85">
        <v>2</v>
      </c>
      <c r="B62" s="85">
        <v>2</v>
      </c>
      <c r="C62" s="92">
        <v>3</v>
      </c>
      <c r="D62" s="85"/>
      <c r="E62" s="85"/>
      <c r="F62" s="104" t="s">
        <v>49</v>
      </c>
      <c r="G62" s="95">
        <f t="shared" ref="G62:L62" si="10">G63+G64</f>
        <v>550000</v>
      </c>
      <c r="H62" s="105">
        <f t="shared" si="10"/>
        <v>0</v>
      </c>
      <c r="I62" s="10" t="e">
        <f t="shared" si="10"/>
        <v>#REF!</v>
      </c>
      <c r="J62" s="105">
        <f t="shared" si="10"/>
        <v>0</v>
      </c>
      <c r="K62" s="105">
        <f t="shared" si="10"/>
        <v>1600</v>
      </c>
      <c r="L62" s="105">
        <f t="shared" si="10"/>
        <v>1600</v>
      </c>
    </row>
    <row r="63" spans="1:12" ht="15.75" x14ac:dyDescent="0.25">
      <c r="A63" s="85">
        <v>2</v>
      </c>
      <c r="B63" s="85">
        <v>2</v>
      </c>
      <c r="C63" s="92">
        <v>3</v>
      </c>
      <c r="D63" s="85">
        <v>1</v>
      </c>
      <c r="E63" s="119"/>
      <c r="F63" s="106" t="s">
        <v>50</v>
      </c>
      <c r="G63" s="100"/>
      <c r="H63" s="101"/>
      <c r="I63" s="8" t="e">
        <f>+G63-#REF!</f>
        <v>#REF!</v>
      </c>
      <c r="J63" s="101"/>
      <c r="K63" s="101">
        <f>1000+300+300</f>
        <v>1600</v>
      </c>
      <c r="L63" s="109">
        <f>+H63+J63+K63</f>
        <v>1600</v>
      </c>
    </row>
    <row r="64" spans="1:12" ht="15.75" x14ac:dyDescent="0.25">
      <c r="A64" s="85">
        <v>2</v>
      </c>
      <c r="B64" s="85">
        <v>2</v>
      </c>
      <c r="C64" s="92">
        <v>3</v>
      </c>
      <c r="D64" s="85">
        <v>2</v>
      </c>
      <c r="E64" s="119"/>
      <c r="F64" s="106" t="s">
        <v>51</v>
      </c>
      <c r="G64" s="108">
        <v>550000</v>
      </c>
      <c r="H64" s="110"/>
      <c r="I64" s="12" t="e">
        <f>+G64-#REF!</f>
        <v>#REF!</v>
      </c>
      <c r="J64" s="110"/>
      <c r="K64" s="110"/>
      <c r="L64" s="110"/>
    </row>
    <row r="65" spans="1:12" ht="15.75" x14ac:dyDescent="0.25">
      <c r="A65" s="85"/>
      <c r="B65" s="85"/>
      <c r="C65" s="92"/>
      <c r="D65" s="85"/>
      <c r="E65" s="85"/>
      <c r="F65" s="106"/>
      <c r="G65" s="108"/>
      <c r="H65" s="110"/>
      <c r="I65" s="12" t="e">
        <f>+G65-#REF!</f>
        <v>#REF!</v>
      </c>
      <c r="J65" s="110"/>
      <c r="K65" s="110"/>
      <c r="L65" s="110"/>
    </row>
    <row r="66" spans="1:12" ht="16.5" thickBot="1" x14ac:dyDescent="0.3">
      <c r="A66" s="85">
        <v>2</v>
      </c>
      <c r="B66" s="85">
        <v>2</v>
      </c>
      <c r="C66" s="92">
        <v>4</v>
      </c>
      <c r="D66" s="85"/>
      <c r="E66" s="85"/>
      <c r="F66" s="104" t="s">
        <v>52</v>
      </c>
      <c r="G66" s="95">
        <f>G67+G68</f>
        <v>280000</v>
      </c>
      <c r="H66" s="105">
        <f>H67+H68</f>
        <v>6910.99</v>
      </c>
      <c r="I66" s="10" t="e">
        <f>+G66-#REF!</f>
        <v>#REF!</v>
      </c>
      <c r="J66" s="105">
        <f>J67+J68</f>
        <v>1600</v>
      </c>
      <c r="K66" s="105">
        <f>K67+K68</f>
        <v>5688.34</v>
      </c>
      <c r="L66" s="105">
        <f>L67+L68</f>
        <v>14199.33</v>
      </c>
    </row>
    <row r="67" spans="1:12" ht="15.75" x14ac:dyDescent="0.25">
      <c r="A67" s="85">
        <v>2</v>
      </c>
      <c r="B67" s="85">
        <v>2</v>
      </c>
      <c r="C67" s="92">
        <v>4</v>
      </c>
      <c r="D67" s="85">
        <v>1</v>
      </c>
      <c r="E67" s="85"/>
      <c r="F67" s="106" t="s">
        <v>53</v>
      </c>
      <c r="G67" s="107">
        <v>280000</v>
      </c>
      <c r="H67" s="110">
        <f>780+6130.99</f>
        <v>6910.99</v>
      </c>
      <c r="I67" s="12" t="e">
        <f>+G67-#REF!</f>
        <v>#REF!</v>
      </c>
      <c r="J67" s="110">
        <f>200+100+100+200+300+200+200+300</f>
        <v>1600</v>
      </c>
      <c r="K67" s="110">
        <f>4338.34+100+100+100+100+100+100+200+50+100+100+100+100+100</f>
        <v>5688.34</v>
      </c>
      <c r="L67" s="110">
        <f>+H67+J67+K67</f>
        <v>14199.33</v>
      </c>
    </row>
    <row r="68" spans="1:12" ht="15.75" x14ac:dyDescent="0.25">
      <c r="A68" s="85">
        <v>2</v>
      </c>
      <c r="B68" s="85">
        <v>2</v>
      </c>
      <c r="C68" s="92">
        <v>4</v>
      </c>
      <c r="D68" s="85">
        <v>3</v>
      </c>
      <c r="E68" s="85"/>
      <c r="F68" s="106" t="s">
        <v>54</v>
      </c>
      <c r="G68" s="108"/>
      <c r="H68" s="110">
        <v>0</v>
      </c>
      <c r="I68" s="12" t="e">
        <f>+G68-#REF!</f>
        <v>#REF!</v>
      </c>
      <c r="J68" s="110">
        <v>0</v>
      </c>
      <c r="K68" s="110"/>
      <c r="L68" s="110">
        <f>+H68+J68+K68</f>
        <v>0</v>
      </c>
    </row>
    <row r="69" spans="1:12" ht="15.75" x14ac:dyDescent="0.25">
      <c r="A69" s="85"/>
      <c r="B69" s="85"/>
      <c r="C69" s="92"/>
      <c r="D69" s="85"/>
      <c r="E69" s="85"/>
      <c r="F69" s="106"/>
      <c r="G69" s="108"/>
      <c r="H69" s="110"/>
      <c r="I69" s="12" t="e">
        <f>+G69-#REF!</f>
        <v>#REF!</v>
      </c>
      <c r="J69" s="110"/>
      <c r="K69" s="110"/>
      <c r="L69" s="110"/>
    </row>
    <row r="70" spans="1:12" ht="16.5" thickBot="1" x14ac:dyDescent="0.3">
      <c r="A70" s="85">
        <v>2</v>
      </c>
      <c r="B70" s="85">
        <v>2</v>
      </c>
      <c r="C70" s="92">
        <v>5</v>
      </c>
      <c r="D70" s="85"/>
      <c r="E70" s="85"/>
      <c r="F70" s="104" t="s">
        <v>55</v>
      </c>
      <c r="G70" s="95">
        <f>G71+G76</f>
        <v>10015311</v>
      </c>
      <c r="H70" s="96">
        <f>H73+H71</f>
        <v>792285.26</v>
      </c>
      <c r="I70" s="6" t="e">
        <f>I73+I71</f>
        <v>#REF!</v>
      </c>
      <c r="J70" s="96">
        <f>J73+J71</f>
        <v>801242.44</v>
      </c>
      <c r="K70" s="96">
        <f>K73+K71</f>
        <v>801396.64</v>
      </c>
      <c r="L70" s="96">
        <f>L73+L71</f>
        <v>2394924.34</v>
      </c>
    </row>
    <row r="71" spans="1:12" ht="15.75" x14ac:dyDescent="0.25">
      <c r="A71" s="85">
        <v>2</v>
      </c>
      <c r="B71" s="85">
        <v>2</v>
      </c>
      <c r="C71" s="92">
        <v>5</v>
      </c>
      <c r="D71" s="85">
        <v>1</v>
      </c>
      <c r="E71" s="85"/>
      <c r="F71" s="99" t="s">
        <v>56</v>
      </c>
      <c r="G71" s="107">
        <v>9685383</v>
      </c>
      <c r="H71" s="109">
        <f>17098.97+766926.29</f>
        <v>784025.26</v>
      </c>
      <c r="I71" s="13" t="e">
        <f>+G71-#REF!</f>
        <v>#REF!</v>
      </c>
      <c r="J71" s="109">
        <f>17294.32+775688.12</f>
        <v>792982.44</v>
      </c>
      <c r="K71" s="109">
        <f>17297.68+775838.96</f>
        <v>793136.64000000001</v>
      </c>
      <c r="L71" s="109">
        <f>+H71+J71+K71</f>
        <v>2370144.34</v>
      </c>
    </row>
    <row r="72" spans="1:12" ht="15.75" x14ac:dyDescent="0.25">
      <c r="A72" s="85"/>
      <c r="B72" s="85"/>
      <c r="C72" s="92"/>
      <c r="D72" s="85"/>
      <c r="E72" s="119"/>
      <c r="F72" s="106"/>
      <c r="G72" s="108"/>
      <c r="H72" s="110"/>
      <c r="I72" s="12"/>
      <c r="J72" s="110"/>
      <c r="K72" s="110"/>
      <c r="L72" s="110"/>
    </row>
    <row r="73" spans="1:12" ht="16.5" thickBot="1" x14ac:dyDescent="0.3">
      <c r="A73" s="85">
        <v>2</v>
      </c>
      <c r="B73" s="85">
        <v>2</v>
      </c>
      <c r="C73" s="92">
        <v>5</v>
      </c>
      <c r="D73" s="85">
        <v>3</v>
      </c>
      <c r="E73" s="93"/>
      <c r="F73" s="104" t="s">
        <v>57</v>
      </c>
      <c r="G73" s="95">
        <f t="shared" ref="G73:L73" si="11">G74+G75+G76</f>
        <v>329928</v>
      </c>
      <c r="H73" s="105">
        <f t="shared" si="11"/>
        <v>8260</v>
      </c>
      <c r="I73" s="10" t="e">
        <f t="shared" si="11"/>
        <v>#REF!</v>
      </c>
      <c r="J73" s="105">
        <f t="shared" si="11"/>
        <v>8260</v>
      </c>
      <c r="K73" s="105">
        <f t="shared" si="11"/>
        <v>8260</v>
      </c>
      <c r="L73" s="105">
        <f t="shared" si="11"/>
        <v>24780</v>
      </c>
    </row>
    <row r="74" spans="1:12" ht="15.75" x14ac:dyDescent="0.25">
      <c r="A74" s="85">
        <v>2</v>
      </c>
      <c r="B74" s="85">
        <v>2</v>
      </c>
      <c r="C74" s="92">
        <v>5</v>
      </c>
      <c r="D74" s="85">
        <v>3</v>
      </c>
      <c r="E74" s="85">
        <v>2</v>
      </c>
      <c r="F74" s="99" t="s">
        <v>58</v>
      </c>
      <c r="G74" s="107"/>
      <c r="H74" s="110">
        <v>0</v>
      </c>
      <c r="I74" s="12" t="e">
        <f>+G74-#REF!</f>
        <v>#REF!</v>
      </c>
      <c r="J74" s="110">
        <v>0</v>
      </c>
      <c r="K74" s="110"/>
      <c r="L74" s="110">
        <f>+H74+J74+K74</f>
        <v>0</v>
      </c>
    </row>
    <row r="75" spans="1:12" ht="15.75" x14ac:dyDescent="0.25">
      <c r="A75" s="85">
        <v>2</v>
      </c>
      <c r="B75" s="85">
        <v>2</v>
      </c>
      <c r="C75" s="92">
        <v>5</v>
      </c>
      <c r="D75" s="85">
        <v>3</v>
      </c>
      <c r="E75" s="85">
        <v>3</v>
      </c>
      <c r="F75" s="99" t="s">
        <v>59</v>
      </c>
      <c r="G75" s="108"/>
      <c r="H75" s="110"/>
      <c r="I75" s="12" t="e">
        <f>+G75-#REF!</f>
        <v>#REF!</v>
      </c>
      <c r="J75" s="110"/>
      <c r="K75" s="110"/>
      <c r="L75" s="110">
        <f>+H75+J75+K75</f>
        <v>0</v>
      </c>
    </row>
    <row r="76" spans="1:12" ht="15.75" x14ac:dyDescent="0.25">
      <c r="A76" s="85">
        <v>2</v>
      </c>
      <c r="B76" s="85">
        <v>2</v>
      </c>
      <c r="C76" s="92">
        <v>5</v>
      </c>
      <c r="D76" s="85">
        <v>3</v>
      </c>
      <c r="E76" s="85">
        <v>4</v>
      </c>
      <c r="F76" s="99" t="s">
        <v>60</v>
      </c>
      <c r="G76" s="108">
        <v>329928</v>
      </c>
      <c r="H76" s="110">
        <v>8260</v>
      </c>
      <c r="I76" s="12" t="e">
        <f>+G76-#REF!</f>
        <v>#REF!</v>
      </c>
      <c r="J76" s="110">
        <v>8260</v>
      </c>
      <c r="K76" s="110">
        <v>8260</v>
      </c>
      <c r="L76" s="110">
        <f>+H76+J76+K76</f>
        <v>24780</v>
      </c>
    </row>
    <row r="77" spans="1:12" ht="15.75" x14ac:dyDescent="0.25">
      <c r="A77" s="85"/>
      <c r="B77" s="85"/>
      <c r="C77" s="92"/>
      <c r="D77" s="85"/>
      <c r="E77" s="85"/>
      <c r="F77" s="99"/>
      <c r="G77" s="108"/>
      <c r="H77" s="110"/>
      <c r="I77" s="12"/>
      <c r="J77" s="110"/>
      <c r="K77" s="110"/>
      <c r="L77" s="110"/>
    </row>
    <row r="78" spans="1:12" ht="16.5" thickBot="1" x14ac:dyDescent="0.3">
      <c r="A78" s="85"/>
      <c r="B78" s="85"/>
      <c r="C78" s="92"/>
      <c r="D78" s="85"/>
      <c r="E78" s="85"/>
      <c r="F78" s="99"/>
      <c r="G78" s="108"/>
      <c r="H78" s="110"/>
      <c r="I78" s="12"/>
      <c r="J78" s="110"/>
      <c r="K78" s="110"/>
      <c r="L78" s="110"/>
    </row>
    <row r="79" spans="1:12" s="21" customFormat="1" ht="16.5" thickBot="1" x14ac:dyDescent="0.3">
      <c r="A79" s="85">
        <v>2</v>
      </c>
      <c r="B79" s="85">
        <v>2</v>
      </c>
      <c r="C79" s="92">
        <v>6</v>
      </c>
      <c r="D79" s="85"/>
      <c r="E79" s="85"/>
      <c r="F79" s="99" t="s">
        <v>61</v>
      </c>
      <c r="G79" s="112">
        <f t="shared" ref="G79:L79" si="12">G81+G80</f>
        <v>1434252</v>
      </c>
      <c r="H79" s="113">
        <f t="shared" si="12"/>
        <v>108478.82</v>
      </c>
      <c r="I79" s="113" t="e">
        <f t="shared" si="12"/>
        <v>#REF!</v>
      </c>
      <c r="J79" s="113">
        <f t="shared" si="12"/>
        <v>108478.82</v>
      </c>
      <c r="K79" s="113">
        <f>K81+K80</f>
        <v>191755.74</v>
      </c>
      <c r="L79" s="113">
        <f t="shared" si="12"/>
        <v>408713.38</v>
      </c>
    </row>
    <row r="80" spans="1:12" ht="16.5" thickBot="1" x14ac:dyDescent="0.3">
      <c r="A80" s="120">
        <v>2</v>
      </c>
      <c r="B80" s="120">
        <v>2</v>
      </c>
      <c r="C80" s="121">
        <v>6</v>
      </c>
      <c r="D80" s="120">
        <v>2</v>
      </c>
      <c r="E80" s="120">
        <v>1</v>
      </c>
      <c r="F80" s="122" t="s">
        <v>62</v>
      </c>
      <c r="G80" s="123">
        <v>125000</v>
      </c>
      <c r="H80" s="98"/>
      <c r="I80" s="16" t="e">
        <f>+G80-#REF!</f>
        <v>#REF!</v>
      </c>
      <c r="J80" s="98"/>
      <c r="K80" s="98"/>
      <c r="L80" s="98"/>
    </row>
    <row r="81" spans="1:12" ht="15.75" x14ac:dyDescent="0.25">
      <c r="A81" s="85">
        <v>2</v>
      </c>
      <c r="B81" s="85">
        <v>2</v>
      </c>
      <c r="C81" s="92">
        <v>6</v>
      </c>
      <c r="D81" s="85">
        <v>3</v>
      </c>
      <c r="E81" s="85">
        <v>1</v>
      </c>
      <c r="F81" s="99" t="s">
        <v>63</v>
      </c>
      <c r="G81" s="108">
        <v>1309252</v>
      </c>
      <c r="H81" s="110">
        <v>108478.82</v>
      </c>
      <c r="I81" s="12" t="e">
        <f>+G81-#REF!</f>
        <v>#REF!</v>
      </c>
      <c r="J81" s="110">
        <v>108478.82</v>
      </c>
      <c r="K81" s="110">
        <f>113089.65+39242.96+23071.9+16351.23</f>
        <v>191755.74</v>
      </c>
      <c r="L81" s="110">
        <f>+H81+J81+K81</f>
        <v>408713.38</v>
      </c>
    </row>
    <row r="82" spans="1:12" ht="15.75" x14ac:dyDescent="0.25">
      <c r="A82" s="85"/>
      <c r="B82" s="85"/>
      <c r="C82" s="92"/>
      <c r="D82" s="85"/>
      <c r="E82" s="85"/>
      <c r="F82" s="99"/>
      <c r="G82" s="108"/>
      <c r="H82" s="110">
        <v>0</v>
      </c>
      <c r="I82" s="12">
        <v>0</v>
      </c>
      <c r="J82" s="110">
        <v>0</v>
      </c>
      <c r="K82" s="110"/>
      <c r="L82" s="110">
        <f>+H82+J82+K82</f>
        <v>0</v>
      </c>
    </row>
    <row r="83" spans="1:12" ht="15.75" x14ac:dyDescent="0.25">
      <c r="A83" s="85"/>
      <c r="B83" s="85"/>
      <c r="C83" s="92"/>
      <c r="D83" s="85"/>
      <c r="E83" s="85"/>
      <c r="F83" s="99"/>
      <c r="G83" s="108"/>
      <c r="H83" s="110"/>
      <c r="I83" s="12"/>
      <c r="J83" s="110"/>
      <c r="K83" s="110"/>
      <c r="L83" s="110"/>
    </row>
    <row r="84" spans="1:12" ht="32.25" thickBot="1" x14ac:dyDescent="0.3">
      <c r="A84" s="85">
        <v>2</v>
      </c>
      <c r="B84" s="85">
        <v>2</v>
      </c>
      <c r="C84" s="92">
        <v>7</v>
      </c>
      <c r="D84" s="85"/>
      <c r="E84" s="93"/>
      <c r="F84" s="104" t="s">
        <v>64</v>
      </c>
      <c r="G84" s="125">
        <f>G85</f>
        <v>45117</v>
      </c>
      <c r="H84" s="96">
        <f>SUM(H87:H91)</f>
        <v>19800.52</v>
      </c>
      <c r="I84" s="6" t="e">
        <f>SUM(I86:I91)</f>
        <v>#REF!</v>
      </c>
      <c r="J84" s="96">
        <f>SUM(J87:J91)</f>
        <v>650</v>
      </c>
      <c r="K84" s="96">
        <f>SUM(K87:K91)</f>
        <v>0</v>
      </c>
      <c r="L84" s="96">
        <f>SUM(L87:L91)</f>
        <v>20450.52</v>
      </c>
    </row>
    <row r="85" spans="1:12" ht="16.5" thickBot="1" x14ac:dyDescent="0.3">
      <c r="A85" s="85">
        <v>2</v>
      </c>
      <c r="B85" s="85">
        <v>2</v>
      </c>
      <c r="C85" s="92">
        <v>7</v>
      </c>
      <c r="D85" s="85">
        <v>2</v>
      </c>
      <c r="E85" s="93"/>
      <c r="F85" s="104" t="s">
        <v>65</v>
      </c>
      <c r="G85" s="112">
        <f>SUM(G87:G90)</f>
        <v>45117</v>
      </c>
      <c r="H85" s="166">
        <f>SUM(H87:H90)</f>
        <v>19800.52</v>
      </c>
      <c r="I85" s="22" t="e">
        <f>SUM(I86:I90)</f>
        <v>#REF!</v>
      </c>
      <c r="J85" s="166">
        <f>SUM(J87:J90)</f>
        <v>650</v>
      </c>
      <c r="K85" s="166">
        <f>SUM(K87:K90)</f>
        <v>0</v>
      </c>
      <c r="L85" s="166">
        <f>SUM(L87:L90)</f>
        <v>20450.52</v>
      </c>
    </row>
    <row r="86" spans="1:12" ht="31.5" x14ac:dyDescent="0.25">
      <c r="A86" s="85">
        <v>2</v>
      </c>
      <c r="B86" s="85">
        <v>2</v>
      </c>
      <c r="C86" s="92">
        <v>7</v>
      </c>
      <c r="D86" s="85">
        <v>1</v>
      </c>
      <c r="E86" s="119">
        <v>2</v>
      </c>
      <c r="F86" s="126" t="s">
        <v>66</v>
      </c>
      <c r="G86" s="125"/>
      <c r="H86" s="167"/>
      <c r="I86" s="12" t="e">
        <f>+G86-#REF!</f>
        <v>#REF!</v>
      </c>
      <c r="J86" s="167"/>
      <c r="K86" s="167"/>
      <c r="L86" s="167">
        <f>+H86+J86+K86</f>
        <v>0</v>
      </c>
    </row>
    <row r="87" spans="1:12" ht="31.5" x14ac:dyDescent="0.25">
      <c r="A87" s="85">
        <v>2</v>
      </c>
      <c r="B87" s="85">
        <v>2</v>
      </c>
      <c r="C87" s="92">
        <v>7</v>
      </c>
      <c r="D87" s="85">
        <v>2</v>
      </c>
      <c r="E87" s="119">
        <v>2</v>
      </c>
      <c r="F87" s="126" t="s">
        <v>67</v>
      </c>
      <c r="G87" s="108">
        <v>9117</v>
      </c>
      <c r="H87" s="110">
        <v>0</v>
      </c>
      <c r="I87" s="12" t="e">
        <f>+G87-#REF!</f>
        <v>#REF!</v>
      </c>
      <c r="J87" s="110">
        <v>0</v>
      </c>
      <c r="K87" s="110"/>
      <c r="L87" s="167">
        <f>+H87+J87+K87</f>
        <v>0</v>
      </c>
    </row>
    <row r="88" spans="1:12" ht="31.5" x14ac:dyDescent="0.25">
      <c r="A88" s="85">
        <v>2</v>
      </c>
      <c r="B88" s="85">
        <v>2</v>
      </c>
      <c r="C88" s="92">
        <v>7</v>
      </c>
      <c r="D88" s="85">
        <v>2</v>
      </c>
      <c r="E88" s="119">
        <v>3</v>
      </c>
      <c r="F88" s="126" t="s">
        <v>68</v>
      </c>
      <c r="G88" s="108"/>
      <c r="H88" s="110">
        <f>G88*12</f>
        <v>0</v>
      </c>
      <c r="I88" s="12" t="e">
        <f>+G88-#REF!</f>
        <v>#REF!</v>
      </c>
      <c r="J88" s="110"/>
      <c r="K88" s="110"/>
      <c r="L88" s="167">
        <f>+H88+J88+K88</f>
        <v>0</v>
      </c>
    </row>
    <row r="89" spans="1:12" ht="31.5" x14ac:dyDescent="0.25">
      <c r="A89" s="85">
        <v>2</v>
      </c>
      <c r="B89" s="85">
        <v>2</v>
      </c>
      <c r="C89" s="92">
        <v>7</v>
      </c>
      <c r="D89" s="85">
        <v>2</v>
      </c>
      <c r="E89" s="119">
        <v>4</v>
      </c>
      <c r="F89" s="126" t="s">
        <v>69</v>
      </c>
      <c r="G89" s="108">
        <v>24000</v>
      </c>
      <c r="H89" s="110"/>
      <c r="I89" s="12" t="e">
        <f>+G89-#REF!</f>
        <v>#REF!</v>
      </c>
      <c r="J89" s="110"/>
      <c r="K89" s="110"/>
      <c r="L89" s="167">
        <f>+H89+J89+K89</f>
        <v>0</v>
      </c>
    </row>
    <row r="90" spans="1:12" ht="31.5" x14ac:dyDescent="0.25">
      <c r="A90" s="85">
        <v>2</v>
      </c>
      <c r="B90" s="85">
        <v>2</v>
      </c>
      <c r="C90" s="92">
        <v>7</v>
      </c>
      <c r="D90" s="85">
        <v>2</v>
      </c>
      <c r="E90" s="119">
        <v>6</v>
      </c>
      <c r="F90" s="126" t="s">
        <v>70</v>
      </c>
      <c r="G90" s="108">
        <v>12000</v>
      </c>
      <c r="H90" s="110">
        <f>9670.1+9530.42+600</f>
        <v>19800.52</v>
      </c>
      <c r="I90" s="12" t="e">
        <f>+G90-#REF!</f>
        <v>#REF!</v>
      </c>
      <c r="J90" s="110">
        <v>650</v>
      </c>
      <c r="K90" s="110"/>
      <c r="L90" s="167">
        <f>+H90+J90+K90</f>
        <v>20450.52</v>
      </c>
    </row>
    <row r="91" spans="1:12" ht="15.75" x14ac:dyDescent="0.25">
      <c r="A91" s="85"/>
      <c r="B91" s="85"/>
      <c r="C91" s="92"/>
      <c r="D91" s="85"/>
      <c r="E91" s="119"/>
      <c r="F91" s="106"/>
      <c r="G91" s="108"/>
      <c r="H91" s="110"/>
      <c r="I91" s="12"/>
      <c r="J91" s="110"/>
      <c r="K91" s="110"/>
      <c r="L91" s="110"/>
    </row>
    <row r="92" spans="1:12" ht="16.5" thickBot="1" x14ac:dyDescent="0.3">
      <c r="A92" s="85">
        <v>2</v>
      </c>
      <c r="B92" s="85">
        <v>2</v>
      </c>
      <c r="C92" s="92">
        <v>8</v>
      </c>
      <c r="D92" s="85"/>
      <c r="E92" s="93"/>
      <c r="F92" s="104" t="s">
        <v>71</v>
      </c>
      <c r="G92" s="125">
        <f>SUM(G93+G94)+G96+G100</f>
        <v>4392936</v>
      </c>
      <c r="H92" s="96">
        <f>H93+H94+H96+H100</f>
        <v>256177.13999999998</v>
      </c>
      <c r="I92" s="6" t="e">
        <f>I93+I94+I96+I100</f>
        <v>#REF!</v>
      </c>
      <c r="J92" s="96">
        <f>J93+J94+J96+J100</f>
        <v>436592.42</v>
      </c>
      <c r="K92" s="96">
        <f>K93+K94+K96+K100</f>
        <v>418896.86999999994</v>
      </c>
      <c r="L92" s="96">
        <f>L93+L94+L96+L100</f>
        <v>1111666.43</v>
      </c>
    </row>
    <row r="93" spans="1:12" ht="15.75" x14ac:dyDescent="0.25">
      <c r="A93" s="85">
        <v>2</v>
      </c>
      <c r="B93" s="85">
        <v>2</v>
      </c>
      <c r="C93" s="92">
        <v>8</v>
      </c>
      <c r="D93" s="85">
        <v>2</v>
      </c>
      <c r="E93" s="119"/>
      <c r="F93" s="127" t="s">
        <v>72</v>
      </c>
      <c r="G93" s="107">
        <v>102000</v>
      </c>
      <c r="H93" s="109">
        <v>5155.28</v>
      </c>
      <c r="I93" s="13" t="e">
        <f>+G93-#REF!</f>
        <v>#REF!</v>
      </c>
      <c r="J93" s="109">
        <v>4982.54</v>
      </c>
      <c r="K93" s="109">
        <v>5146.79</v>
      </c>
      <c r="L93" s="109">
        <f>+H93+J93+K93</f>
        <v>15284.61</v>
      </c>
    </row>
    <row r="94" spans="1:12" ht="15.75" x14ac:dyDescent="0.25">
      <c r="A94" s="85">
        <v>2</v>
      </c>
      <c r="B94" s="85">
        <v>2</v>
      </c>
      <c r="C94" s="92">
        <v>8</v>
      </c>
      <c r="D94" s="85">
        <v>4</v>
      </c>
      <c r="E94" s="85"/>
      <c r="F94" s="127" t="s">
        <v>73</v>
      </c>
      <c r="G94" s="108">
        <v>0</v>
      </c>
      <c r="H94" s="110">
        <v>0</v>
      </c>
      <c r="I94" s="12">
        <v>0</v>
      </c>
      <c r="J94" s="110">
        <v>0</v>
      </c>
      <c r="K94" s="110"/>
      <c r="L94" s="110">
        <f>+H94+J94+K94</f>
        <v>0</v>
      </c>
    </row>
    <row r="95" spans="1:12" ht="15.75" x14ac:dyDescent="0.25">
      <c r="A95" s="85"/>
      <c r="B95" s="85"/>
      <c r="C95" s="92"/>
      <c r="D95" s="85"/>
      <c r="E95" s="85"/>
      <c r="F95" s="127"/>
      <c r="G95" s="108"/>
      <c r="H95" s="110"/>
      <c r="I95" s="12"/>
      <c r="J95" s="110"/>
      <c r="K95" s="110"/>
      <c r="L95" s="110"/>
    </row>
    <row r="96" spans="1:12" ht="16.5" thickBot="1" x14ac:dyDescent="0.3">
      <c r="A96" s="85">
        <v>2</v>
      </c>
      <c r="B96" s="85">
        <v>2</v>
      </c>
      <c r="C96" s="92">
        <v>8</v>
      </c>
      <c r="D96" s="85">
        <v>6</v>
      </c>
      <c r="E96" s="93"/>
      <c r="F96" s="128" t="s">
        <v>74</v>
      </c>
      <c r="G96" s="125">
        <f t="shared" ref="G96:L96" si="13">G97+G98</f>
        <v>1894000</v>
      </c>
      <c r="H96" s="117">
        <f t="shared" si="13"/>
        <v>0</v>
      </c>
      <c r="I96" s="19" t="e">
        <f t="shared" si="13"/>
        <v>#REF!</v>
      </c>
      <c r="J96" s="117">
        <f t="shared" si="13"/>
        <v>0</v>
      </c>
      <c r="K96" s="117">
        <f t="shared" si="13"/>
        <v>0</v>
      </c>
      <c r="L96" s="117">
        <f t="shared" si="13"/>
        <v>0</v>
      </c>
    </row>
    <row r="97" spans="1:12" ht="15.75" x14ac:dyDescent="0.25">
      <c r="A97" s="85">
        <v>2</v>
      </c>
      <c r="B97" s="85">
        <v>2</v>
      </c>
      <c r="C97" s="92">
        <v>8</v>
      </c>
      <c r="D97" s="85">
        <v>6</v>
      </c>
      <c r="E97" s="85">
        <v>1</v>
      </c>
      <c r="F97" s="127" t="s">
        <v>75</v>
      </c>
      <c r="G97" s="107">
        <v>1882000</v>
      </c>
      <c r="H97" s="109">
        <v>0</v>
      </c>
      <c r="I97" s="12" t="e">
        <f>+G97-#REF!</f>
        <v>#REF!</v>
      </c>
      <c r="J97" s="109">
        <v>0</v>
      </c>
      <c r="K97" s="109"/>
      <c r="L97" s="109">
        <f>+H97+J97+K97</f>
        <v>0</v>
      </c>
    </row>
    <row r="98" spans="1:12" ht="15.75" x14ac:dyDescent="0.25">
      <c r="A98" s="85">
        <v>2</v>
      </c>
      <c r="B98" s="85">
        <v>2</v>
      </c>
      <c r="C98" s="92">
        <v>8</v>
      </c>
      <c r="D98" s="85">
        <v>6</v>
      </c>
      <c r="E98" s="85">
        <v>2</v>
      </c>
      <c r="F98" s="127" t="s">
        <v>76</v>
      </c>
      <c r="G98" s="108">
        <v>12000</v>
      </c>
      <c r="H98" s="110"/>
      <c r="I98" s="12" t="e">
        <f>+G98-#REF!</f>
        <v>#REF!</v>
      </c>
      <c r="J98" s="110"/>
      <c r="K98" s="110"/>
      <c r="L98" s="110"/>
    </row>
    <row r="99" spans="1:12" ht="15.75" x14ac:dyDescent="0.25">
      <c r="A99" s="85"/>
      <c r="B99" s="85"/>
      <c r="C99" s="92"/>
      <c r="D99" s="85"/>
      <c r="E99" s="85"/>
      <c r="F99" s="127"/>
      <c r="G99" s="108"/>
      <c r="H99" s="110">
        <v>0</v>
      </c>
      <c r="I99" s="12">
        <v>0</v>
      </c>
      <c r="J99" s="110">
        <v>0</v>
      </c>
      <c r="K99" s="110"/>
      <c r="L99" s="110">
        <v>0</v>
      </c>
    </row>
    <row r="100" spans="1:12" ht="16.5" thickBot="1" x14ac:dyDescent="0.3">
      <c r="A100" s="85">
        <v>2</v>
      </c>
      <c r="B100" s="85">
        <v>2</v>
      </c>
      <c r="C100" s="92">
        <v>8</v>
      </c>
      <c r="D100" s="85">
        <v>7</v>
      </c>
      <c r="E100" s="93"/>
      <c r="F100" s="128" t="s">
        <v>77</v>
      </c>
      <c r="G100" s="129">
        <f t="shared" ref="G100:L100" si="14">G101+G102+G103+G104+G105</f>
        <v>2396936</v>
      </c>
      <c r="H100" s="118">
        <f t="shared" si="14"/>
        <v>251021.86</v>
      </c>
      <c r="I100" s="6" t="e">
        <f t="shared" si="14"/>
        <v>#REF!</v>
      </c>
      <c r="J100" s="118">
        <f t="shared" si="14"/>
        <v>431609.88</v>
      </c>
      <c r="K100" s="118">
        <f t="shared" si="14"/>
        <v>413750.07999999996</v>
      </c>
      <c r="L100" s="118">
        <f t="shared" si="14"/>
        <v>1096381.8199999998</v>
      </c>
    </row>
    <row r="101" spans="1:12" ht="15.75" x14ac:dyDescent="0.25">
      <c r="A101" s="85">
        <v>2</v>
      </c>
      <c r="B101" s="85">
        <v>2</v>
      </c>
      <c r="C101" s="92">
        <v>8</v>
      </c>
      <c r="D101" s="85">
        <v>7</v>
      </c>
      <c r="E101" s="85">
        <v>1</v>
      </c>
      <c r="F101" s="106" t="s">
        <v>78</v>
      </c>
      <c r="G101" s="108">
        <v>500000</v>
      </c>
      <c r="H101" s="110">
        <v>0</v>
      </c>
      <c r="I101" s="13" t="e">
        <f>+G101-#REF!</f>
        <v>#REF!</v>
      </c>
      <c r="J101" s="110">
        <v>0</v>
      </c>
      <c r="K101" s="110"/>
      <c r="L101" s="110">
        <f>+H101+J101+K101</f>
        <v>0</v>
      </c>
    </row>
    <row r="102" spans="1:12" ht="15.75" x14ac:dyDescent="0.25">
      <c r="A102" s="85">
        <v>2</v>
      </c>
      <c r="B102" s="85">
        <v>2</v>
      </c>
      <c r="C102" s="92">
        <v>8</v>
      </c>
      <c r="D102" s="85">
        <v>7</v>
      </c>
      <c r="E102" s="119">
        <v>3</v>
      </c>
      <c r="F102" s="106" t="s">
        <v>79</v>
      </c>
      <c r="G102" s="108">
        <v>300000</v>
      </c>
      <c r="H102" s="110"/>
      <c r="I102" s="24" t="e">
        <f>+G102-#REF!</f>
        <v>#REF!</v>
      </c>
      <c r="J102" s="110"/>
      <c r="K102" s="110">
        <v>48000</v>
      </c>
      <c r="L102" s="110">
        <f>+H102+J102+K102</f>
        <v>48000</v>
      </c>
    </row>
    <row r="103" spans="1:12" ht="15.75" x14ac:dyDescent="0.25">
      <c r="A103" s="85">
        <v>2</v>
      </c>
      <c r="B103" s="85">
        <v>2</v>
      </c>
      <c r="C103" s="92">
        <v>8</v>
      </c>
      <c r="D103" s="85">
        <v>7</v>
      </c>
      <c r="E103" s="85">
        <v>4</v>
      </c>
      <c r="F103" s="106" t="s">
        <v>80</v>
      </c>
      <c r="G103" s="108"/>
      <c r="H103" s="110">
        <v>10000</v>
      </c>
      <c r="I103" s="24" t="e">
        <f>+G103-#REF!</f>
        <v>#REF!</v>
      </c>
      <c r="J103" s="110"/>
      <c r="K103" s="110">
        <v>5000</v>
      </c>
      <c r="L103" s="110">
        <f>+H103+J103+K103</f>
        <v>15000</v>
      </c>
    </row>
    <row r="104" spans="1:12" ht="31.5" x14ac:dyDescent="0.25">
      <c r="A104" s="85">
        <v>2</v>
      </c>
      <c r="B104" s="85">
        <v>2</v>
      </c>
      <c r="C104" s="92">
        <v>8</v>
      </c>
      <c r="D104" s="85">
        <v>7</v>
      </c>
      <c r="E104" s="85">
        <v>5</v>
      </c>
      <c r="F104" s="106" t="s">
        <v>81</v>
      </c>
      <c r="G104" s="108">
        <v>12000</v>
      </c>
      <c r="H104" s="110">
        <v>3233.36</v>
      </c>
      <c r="I104" s="24" t="e">
        <f>+G104-#REF!</f>
        <v>#REF!</v>
      </c>
      <c r="J104" s="110"/>
      <c r="K104" s="110">
        <v>5655.28</v>
      </c>
      <c r="L104" s="110">
        <f>+H104+J104+K104</f>
        <v>8888.64</v>
      </c>
    </row>
    <row r="105" spans="1:12" ht="15.75" x14ac:dyDescent="0.25">
      <c r="A105" s="85">
        <v>2</v>
      </c>
      <c r="B105" s="85">
        <v>2</v>
      </c>
      <c r="C105" s="92">
        <v>8</v>
      </c>
      <c r="D105" s="85">
        <v>7</v>
      </c>
      <c r="E105" s="85">
        <v>6</v>
      </c>
      <c r="F105" s="106" t="s">
        <v>82</v>
      </c>
      <c r="G105" s="108">
        <v>1584936</v>
      </c>
      <c r="H105" s="110">
        <f>38200+11800+43563+144225.5</f>
        <v>237788.5</v>
      </c>
      <c r="I105" s="24" t="e">
        <f>+G105-#REF!</f>
        <v>#REF!</v>
      </c>
      <c r="J105" s="110">
        <f>12000+21240+177541.38+11800+144225.5+43563+21240</f>
        <v>431609.88</v>
      </c>
      <c r="K105" s="110">
        <f>10620+26886.3+118000+11800+144225.5+43563</f>
        <v>355094.8</v>
      </c>
      <c r="L105" s="110">
        <f>+H105+J105+K105</f>
        <v>1024493.1799999999</v>
      </c>
    </row>
    <row r="106" spans="1:12" ht="16.5" thickBot="1" x14ac:dyDescent="0.3">
      <c r="A106" s="85"/>
      <c r="B106" s="85"/>
      <c r="C106" s="92"/>
      <c r="D106" s="85"/>
      <c r="E106" s="85"/>
      <c r="F106" s="106"/>
      <c r="G106" s="111"/>
      <c r="H106" s="117"/>
      <c r="I106" s="19"/>
      <c r="J106" s="117"/>
      <c r="K106" s="117"/>
      <c r="L106" s="117"/>
    </row>
    <row r="107" spans="1:12" ht="16.5" thickBot="1" x14ac:dyDescent="0.3">
      <c r="A107" s="85">
        <v>2</v>
      </c>
      <c r="B107" s="85">
        <v>2</v>
      </c>
      <c r="C107" s="92">
        <v>9</v>
      </c>
      <c r="D107" s="85"/>
      <c r="E107" s="85"/>
      <c r="F107" s="104" t="s">
        <v>83</v>
      </c>
      <c r="G107" s="100">
        <f t="shared" ref="G107:L107" si="15">G108+G109</f>
        <v>12000</v>
      </c>
      <c r="H107" s="168">
        <f t="shared" si="15"/>
        <v>33893.49</v>
      </c>
      <c r="I107" s="25" t="e">
        <f t="shared" si="15"/>
        <v>#REF!</v>
      </c>
      <c r="J107" s="168">
        <f t="shared" si="15"/>
        <v>47097.1</v>
      </c>
      <c r="K107" s="168">
        <f t="shared" si="15"/>
        <v>15197.85</v>
      </c>
      <c r="L107" s="168">
        <f t="shared" si="15"/>
        <v>96188.44</v>
      </c>
    </row>
    <row r="108" spans="1:12" ht="16.5" thickBot="1" x14ac:dyDescent="0.3">
      <c r="A108" s="85">
        <v>2</v>
      </c>
      <c r="B108" s="85">
        <v>2</v>
      </c>
      <c r="C108" s="92">
        <v>9</v>
      </c>
      <c r="D108" s="85">
        <v>2</v>
      </c>
      <c r="E108" s="85"/>
      <c r="F108" s="127" t="s">
        <v>84</v>
      </c>
      <c r="G108" s="97"/>
      <c r="H108" s="130"/>
      <c r="I108" s="26" t="e">
        <f>+G108-#REF!</f>
        <v>#REF!</v>
      </c>
      <c r="J108" s="130"/>
      <c r="K108" s="130"/>
      <c r="L108" s="130"/>
    </row>
    <row r="109" spans="1:12" ht="15.75" x14ac:dyDescent="0.25">
      <c r="A109" s="85">
        <v>2</v>
      </c>
      <c r="B109" s="85">
        <v>2</v>
      </c>
      <c r="C109" s="92">
        <v>9</v>
      </c>
      <c r="D109" s="85">
        <v>2</v>
      </c>
      <c r="E109" s="85">
        <v>1</v>
      </c>
      <c r="F109" s="106" t="s">
        <v>84</v>
      </c>
      <c r="G109" s="108">
        <v>12000</v>
      </c>
      <c r="H109" s="110">
        <f>2066.99+300+175+300+275+175+300+300+30001.5</f>
        <v>33893.49</v>
      </c>
      <c r="I109" s="12" t="e">
        <f>+G109-#REF!</f>
        <v>#REF!</v>
      </c>
      <c r="J109" s="110">
        <f>300+175+145+791.7+400+470+750+475+400+100+265+12823.9+30001.5</f>
        <v>47097.1</v>
      </c>
      <c r="K109" s="110">
        <f>3872+8791+375+245+300+759.85+300+80+475</f>
        <v>15197.85</v>
      </c>
      <c r="L109" s="110">
        <f>+H109+J109+K109</f>
        <v>96188.44</v>
      </c>
    </row>
    <row r="110" spans="1:12" ht="15.75" x14ac:dyDescent="0.25">
      <c r="A110" s="85"/>
      <c r="B110" s="85"/>
      <c r="C110" s="92"/>
      <c r="D110" s="85"/>
      <c r="E110" s="85"/>
      <c r="F110" s="106"/>
      <c r="G110" s="108"/>
      <c r="H110" s="110"/>
      <c r="I110" s="12"/>
      <c r="J110" s="110"/>
      <c r="K110" s="110"/>
      <c r="L110" s="110"/>
    </row>
    <row r="111" spans="1:12" ht="16.5" thickBot="1" x14ac:dyDescent="0.3">
      <c r="A111" s="85">
        <v>2</v>
      </c>
      <c r="B111" s="85">
        <v>3</v>
      </c>
      <c r="C111" s="92"/>
      <c r="D111" s="85"/>
      <c r="E111" s="93"/>
      <c r="F111" s="104" t="s">
        <v>85</v>
      </c>
      <c r="G111" s="95">
        <f t="shared" ref="G111:L111" si="16">G112+G116+G119+G125+G129+G137</f>
        <v>729304</v>
      </c>
      <c r="H111" s="165">
        <f t="shared" si="16"/>
        <v>85512.01</v>
      </c>
      <c r="I111" s="165" t="e">
        <f t="shared" si="16"/>
        <v>#REF!</v>
      </c>
      <c r="J111" s="165">
        <f t="shared" si="16"/>
        <v>77786.3</v>
      </c>
      <c r="K111" s="165">
        <f t="shared" si="16"/>
        <v>60480</v>
      </c>
      <c r="L111" s="165">
        <f t="shared" si="16"/>
        <v>223778.31</v>
      </c>
    </row>
    <row r="112" spans="1:12" ht="16.5" thickBot="1" x14ac:dyDescent="0.3">
      <c r="A112" s="85">
        <v>2</v>
      </c>
      <c r="B112" s="85">
        <v>3</v>
      </c>
      <c r="C112" s="92">
        <v>1</v>
      </c>
      <c r="D112" s="85"/>
      <c r="E112" s="93"/>
      <c r="F112" s="131" t="s">
        <v>86</v>
      </c>
      <c r="G112" s="112">
        <f t="shared" ref="G112:L112" si="17">G113</f>
        <v>0</v>
      </c>
      <c r="H112" s="113">
        <f t="shared" si="17"/>
        <v>0</v>
      </c>
      <c r="I112" s="15">
        <f t="shared" si="17"/>
        <v>0</v>
      </c>
      <c r="J112" s="113">
        <f t="shared" si="17"/>
        <v>0</v>
      </c>
      <c r="K112" s="113">
        <f t="shared" si="17"/>
        <v>0</v>
      </c>
      <c r="L112" s="113">
        <f t="shared" si="17"/>
        <v>0</v>
      </c>
    </row>
    <row r="113" spans="1:12" ht="15.75" x14ac:dyDescent="0.25">
      <c r="A113" s="85">
        <v>2</v>
      </c>
      <c r="B113" s="85">
        <v>3</v>
      </c>
      <c r="C113" s="92">
        <v>1</v>
      </c>
      <c r="D113" s="85">
        <v>1</v>
      </c>
      <c r="E113" s="93"/>
      <c r="F113" s="132" t="s">
        <v>87</v>
      </c>
      <c r="G113" s="108">
        <f>G114</f>
        <v>0</v>
      </c>
      <c r="H113" s="103"/>
      <c r="I113" s="9"/>
      <c r="J113" s="103"/>
      <c r="K113" s="103"/>
      <c r="L113" s="103">
        <f>+H113+J113+K113</f>
        <v>0</v>
      </c>
    </row>
    <row r="114" spans="1:12" ht="12" customHeight="1" x14ac:dyDescent="0.25">
      <c r="A114" s="85">
        <v>2</v>
      </c>
      <c r="B114" s="85">
        <v>3</v>
      </c>
      <c r="C114" s="92">
        <v>1</v>
      </c>
      <c r="D114" s="85">
        <v>1</v>
      </c>
      <c r="E114" s="93">
        <v>1</v>
      </c>
      <c r="F114" s="132" t="s">
        <v>87</v>
      </c>
      <c r="G114" s="108"/>
      <c r="H114" s="110">
        <v>0</v>
      </c>
      <c r="I114" s="12">
        <v>0</v>
      </c>
      <c r="J114" s="110">
        <v>0</v>
      </c>
      <c r="K114" s="110"/>
      <c r="L114" s="110">
        <v>0</v>
      </c>
    </row>
    <row r="115" spans="1:12" ht="12" customHeight="1" x14ac:dyDescent="0.25">
      <c r="A115" s="85"/>
      <c r="B115" s="85"/>
      <c r="C115" s="92"/>
      <c r="D115" s="85"/>
      <c r="E115" s="93"/>
      <c r="F115" s="131"/>
      <c r="G115" s="108"/>
      <c r="H115" s="110"/>
      <c r="I115" s="12"/>
      <c r="J115" s="110"/>
      <c r="K115" s="110"/>
      <c r="L115" s="110"/>
    </row>
    <row r="116" spans="1:12" ht="12" customHeight="1" thickBot="1" x14ac:dyDescent="0.3">
      <c r="A116" s="85">
        <v>2</v>
      </c>
      <c r="B116" s="85">
        <v>3</v>
      </c>
      <c r="C116" s="92">
        <v>2</v>
      </c>
      <c r="D116" s="85"/>
      <c r="E116" s="93"/>
      <c r="F116" s="131" t="s">
        <v>88</v>
      </c>
      <c r="G116" s="108"/>
      <c r="H116" s="110">
        <f>H117</f>
        <v>0</v>
      </c>
      <c r="I116" s="12">
        <f>I117</f>
        <v>0</v>
      </c>
      <c r="J116" s="110">
        <f>J117</f>
        <v>0</v>
      </c>
      <c r="K116" s="110">
        <f>K117</f>
        <v>0</v>
      </c>
      <c r="L116" s="110">
        <f>L117</f>
        <v>0</v>
      </c>
    </row>
    <row r="117" spans="1:12" ht="12" customHeight="1" x14ac:dyDescent="0.25">
      <c r="A117" s="85">
        <v>2</v>
      </c>
      <c r="B117" s="85">
        <v>3</v>
      </c>
      <c r="C117" s="92">
        <v>2</v>
      </c>
      <c r="D117" s="85">
        <v>3</v>
      </c>
      <c r="E117" s="93"/>
      <c r="F117" s="132" t="s">
        <v>89</v>
      </c>
      <c r="G117" s="107"/>
      <c r="H117" s="109">
        <v>0</v>
      </c>
      <c r="I117" s="13">
        <v>0</v>
      </c>
      <c r="J117" s="109">
        <v>0</v>
      </c>
      <c r="K117" s="109"/>
      <c r="L117" s="109">
        <f>+H117+J117</f>
        <v>0</v>
      </c>
    </row>
    <row r="118" spans="1:12" s="17" customFormat="1" ht="15.75" x14ac:dyDescent="0.25">
      <c r="A118" s="85"/>
      <c r="B118" s="85"/>
      <c r="C118" s="92"/>
      <c r="D118" s="85"/>
      <c r="E118" s="93"/>
      <c r="F118" s="131"/>
      <c r="G118" s="108"/>
      <c r="H118" s="103"/>
      <c r="I118" s="9"/>
      <c r="J118" s="103"/>
      <c r="K118" s="103"/>
      <c r="L118" s="103"/>
    </row>
    <row r="119" spans="1:12" ht="16.5" thickBot="1" x14ac:dyDescent="0.3">
      <c r="A119" s="85">
        <v>2</v>
      </c>
      <c r="B119" s="115">
        <v>3</v>
      </c>
      <c r="C119" s="116">
        <v>3</v>
      </c>
      <c r="D119" s="93"/>
      <c r="E119" s="93"/>
      <c r="F119" s="104" t="s">
        <v>90</v>
      </c>
      <c r="G119" s="95">
        <f t="shared" ref="G119:L119" si="18">G120+G121+G122+G123</f>
        <v>101500</v>
      </c>
      <c r="H119" s="105">
        <f t="shared" si="18"/>
        <v>0</v>
      </c>
      <c r="I119" s="10" t="e">
        <f t="shared" si="18"/>
        <v>#REF!</v>
      </c>
      <c r="J119" s="105">
        <f t="shared" si="18"/>
        <v>708</v>
      </c>
      <c r="K119" s="105">
        <f t="shared" si="18"/>
        <v>0</v>
      </c>
      <c r="L119" s="105">
        <f t="shared" si="18"/>
        <v>708</v>
      </c>
    </row>
    <row r="120" spans="1:12" ht="15.75" x14ac:dyDescent="0.25">
      <c r="A120" s="85">
        <v>2</v>
      </c>
      <c r="B120" s="85">
        <v>3</v>
      </c>
      <c r="C120" s="92">
        <v>3</v>
      </c>
      <c r="D120" s="85">
        <v>1</v>
      </c>
      <c r="E120" s="85"/>
      <c r="F120" s="127" t="s">
        <v>91</v>
      </c>
      <c r="G120" s="107">
        <v>68000</v>
      </c>
      <c r="H120" s="109"/>
      <c r="I120" s="12" t="e">
        <f>+G120-#REF!</f>
        <v>#REF!</v>
      </c>
      <c r="J120" s="109"/>
      <c r="K120" s="109"/>
      <c r="L120" s="109">
        <f>+H120+J120+K120</f>
        <v>0</v>
      </c>
    </row>
    <row r="121" spans="1:12" ht="15.75" x14ac:dyDescent="0.25">
      <c r="A121" s="85">
        <v>2</v>
      </c>
      <c r="B121" s="85">
        <v>3</v>
      </c>
      <c r="C121" s="92">
        <v>3</v>
      </c>
      <c r="D121" s="85">
        <v>2</v>
      </c>
      <c r="E121" s="85"/>
      <c r="F121" s="127" t="s">
        <v>92</v>
      </c>
      <c r="G121" s="108">
        <v>23000</v>
      </c>
      <c r="H121" s="110">
        <v>0</v>
      </c>
      <c r="I121" s="12" t="e">
        <f>+G121-#REF!</f>
        <v>#REF!</v>
      </c>
      <c r="J121" s="110">
        <v>0</v>
      </c>
      <c r="K121" s="110"/>
      <c r="L121" s="110">
        <f>+H121+J121+K121</f>
        <v>0</v>
      </c>
    </row>
    <row r="122" spans="1:12" ht="15.75" x14ac:dyDescent="0.25">
      <c r="A122" s="85">
        <v>2</v>
      </c>
      <c r="B122" s="85">
        <v>3</v>
      </c>
      <c r="C122" s="92">
        <v>3</v>
      </c>
      <c r="D122" s="85">
        <v>3</v>
      </c>
      <c r="E122" s="85"/>
      <c r="F122" s="127" t="s">
        <v>93</v>
      </c>
      <c r="G122" s="108">
        <v>0</v>
      </c>
      <c r="H122" s="110">
        <v>0</v>
      </c>
      <c r="I122" s="12">
        <v>0</v>
      </c>
      <c r="J122" s="110">
        <v>708</v>
      </c>
      <c r="K122" s="110"/>
      <c r="L122" s="110">
        <f>+H122+J122+K122</f>
        <v>708</v>
      </c>
    </row>
    <row r="123" spans="1:12" ht="15.75" x14ac:dyDescent="0.25">
      <c r="A123" s="85">
        <v>2</v>
      </c>
      <c r="B123" s="85">
        <v>3</v>
      </c>
      <c r="C123" s="92">
        <v>3</v>
      </c>
      <c r="D123" s="85">
        <v>4</v>
      </c>
      <c r="E123" s="85"/>
      <c r="F123" s="127" t="s">
        <v>94</v>
      </c>
      <c r="G123" s="108">
        <v>10500</v>
      </c>
      <c r="H123" s="110"/>
      <c r="I123" s="12" t="e">
        <f>+G123-#REF!</f>
        <v>#REF!</v>
      </c>
      <c r="J123" s="110"/>
      <c r="K123" s="110"/>
      <c r="L123" s="110">
        <f>+H123+J123+K123</f>
        <v>0</v>
      </c>
    </row>
    <row r="124" spans="1:12" s="28" customFormat="1" ht="16.5" thickBot="1" x14ac:dyDescent="0.3">
      <c r="A124" s="85"/>
      <c r="B124" s="85"/>
      <c r="C124" s="92"/>
      <c r="D124" s="85"/>
      <c r="E124" s="85"/>
      <c r="F124" s="127"/>
      <c r="G124" s="108"/>
      <c r="H124" s="110"/>
      <c r="I124" s="12"/>
      <c r="J124" s="110"/>
      <c r="K124" s="110"/>
      <c r="L124" s="110">
        <f>+H124+J124+K124</f>
        <v>0</v>
      </c>
    </row>
    <row r="125" spans="1:12" s="28" customFormat="1" ht="32.25" thickBot="1" x14ac:dyDescent="0.3">
      <c r="A125" s="93">
        <v>2</v>
      </c>
      <c r="B125" s="93">
        <v>3</v>
      </c>
      <c r="C125" s="133">
        <v>7</v>
      </c>
      <c r="D125" s="93"/>
      <c r="E125" s="93"/>
      <c r="F125" s="128" t="s">
        <v>95</v>
      </c>
      <c r="G125" s="95">
        <f t="shared" ref="G125:L126" si="19">G126</f>
        <v>300000</v>
      </c>
      <c r="H125" s="117">
        <f t="shared" si="19"/>
        <v>0</v>
      </c>
      <c r="I125" s="16" t="e">
        <f t="shared" si="19"/>
        <v>#REF!</v>
      </c>
      <c r="J125" s="117">
        <f t="shared" si="19"/>
        <v>0</v>
      </c>
      <c r="K125" s="117">
        <f t="shared" si="19"/>
        <v>60000</v>
      </c>
      <c r="L125" s="117">
        <f t="shared" si="19"/>
        <v>60000</v>
      </c>
    </row>
    <row r="126" spans="1:12" s="29" customFormat="1" ht="16.5" thickBot="1" x14ac:dyDescent="0.3">
      <c r="A126" s="93">
        <v>2</v>
      </c>
      <c r="B126" s="93">
        <v>3</v>
      </c>
      <c r="C126" s="133">
        <v>7</v>
      </c>
      <c r="D126" s="93">
        <v>1</v>
      </c>
      <c r="E126" s="93"/>
      <c r="F126" s="128" t="s">
        <v>96</v>
      </c>
      <c r="G126" s="95">
        <f t="shared" si="19"/>
        <v>300000</v>
      </c>
      <c r="H126" s="98">
        <f t="shared" si="19"/>
        <v>0</v>
      </c>
      <c r="I126" s="16" t="e">
        <f>I127</f>
        <v>#REF!</v>
      </c>
      <c r="J126" s="98">
        <f t="shared" si="19"/>
        <v>0</v>
      </c>
      <c r="K126" s="98">
        <f t="shared" si="19"/>
        <v>60000</v>
      </c>
      <c r="L126" s="98">
        <f t="shared" si="19"/>
        <v>60000</v>
      </c>
    </row>
    <row r="127" spans="1:12" ht="15.75" x14ac:dyDescent="0.25">
      <c r="A127" s="119">
        <v>2</v>
      </c>
      <c r="B127" s="119">
        <v>3</v>
      </c>
      <c r="C127" s="134">
        <v>7</v>
      </c>
      <c r="D127" s="119">
        <v>1</v>
      </c>
      <c r="E127" s="119">
        <v>1</v>
      </c>
      <c r="F127" s="106" t="s">
        <v>97</v>
      </c>
      <c r="G127" s="108">
        <v>300000</v>
      </c>
      <c r="H127" s="109"/>
      <c r="I127" s="13" t="e">
        <f>+G127-#REF!</f>
        <v>#REF!</v>
      </c>
      <c r="J127" s="109"/>
      <c r="K127" s="109">
        <v>60000</v>
      </c>
      <c r="L127" s="109">
        <f>+H127+J127+K127</f>
        <v>60000</v>
      </c>
    </row>
    <row r="128" spans="1:12" ht="15.75" x14ac:dyDescent="0.25">
      <c r="A128" s="85"/>
      <c r="B128" s="85"/>
      <c r="C128" s="92"/>
      <c r="D128" s="85"/>
      <c r="E128" s="85"/>
      <c r="F128" s="106"/>
      <c r="G128" s="108"/>
      <c r="H128" s="110"/>
      <c r="I128" s="12"/>
      <c r="J128" s="110"/>
      <c r="K128" s="110"/>
      <c r="L128" s="110"/>
    </row>
    <row r="129" spans="1:12" ht="16.5" thickBot="1" x14ac:dyDescent="0.3">
      <c r="A129" s="85">
        <v>2</v>
      </c>
      <c r="B129" s="85">
        <v>3</v>
      </c>
      <c r="C129" s="92">
        <v>9</v>
      </c>
      <c r="D129" s="85"/>
      <c r="E129" s="93"/>
      <c r="F129" s="104" t="s">
        <v>98</v>
      </c>
      <c r="G129" s="129">
        <f t="shared" ref="G129:L129" si="20">SUM(G130:G134)</f>
        <v>327804</v>
      </c>
      <c r="H129" s="129">
        <f t="shared" si="20"/>
        <v>85512.01</v>
      </c>
      <c r="I129" s="129" t="e">
        <f t="shared" si="20"/>
        <v>#REF!</v>
      </c>
      <c r="J129" s="180">
        <f t="shared" si="20"/>
        <v>77078.3</v>
      </c>
      <c r="K129" s="180">
        <f t="shared" si="20"/>
        <v>480</v>
      </c>
      <c r="L129" s="180">
        <f t="shared" si="20"/>
        <v>163070.31</v>
      </c>
    </row>
    <row r="130" spans="1:12" ht="15.75" x14ac:dyDescent="0.25">
      <c r="A130" s="85">
        <v>2</v>
      </c>
      <c r="B130" s="85">
        <v>3</v>
      </c>
      <c r="C130" s="92">
        <v>9</v>
      </c>
      <c r="D130" s="85">
        <v>1</v>
      </c>
      <c r="E130" s="85"/>
      <c r="F130" s="106" t="s">
        <v>99</v>
      </c>
      <c r="G130" s="107">
        <v>8000</v>
      </c>
      <c r="H130" s="110"/>
      <c r="I130" s="12" t="e">
        <f>+G130-#REF!</f>
        <v>#REF!</v>
      </c>
      <c r="J130" s="110">
        <v>50</v>
      </c>
      <c r="K130" s="110"/>
      <c r="L130" s="110">
        <f t="shared" ref="L130:L135" si="21">+H130+J130+K130</f>
        <v>50</v>
      </c>
    </row>
    <row r="131" spans="1:12" ht="31.5" x14ac:dyDescent="0.25">
      <c r="A131" s="85">
        <v>2</v>
      </c>
      <c r="B131" s="85">
        <v>3</v>
      </c>
      <c r="C131" s="92">
        <v>9</v>
      </c>
      <c r="D131" s="85">
        <v>2</v>
      </c>
      <c r="E131" s="85"/>
      <c r="F131" s="106" t="s">
        <v>100</v>
      </c>
      <c r="G131" s="108">
        <v>195000</v>
      </c>
      <c r="H131" s="110">
        <v>79914.009999999995</v>
      </c>
      <c r="I131" s="12" t="e">
        <f>+G131-#REF!</f>
        <v>#REF!</v>
      </c>
      <c r="J131" s="110">
        <f>22495.78+8966.17+9109.6</f>
        <v>40571.549999999996</v>
      </c>
      <c r="K131" s="110"/>
      <c r="L131" s="110">
        <f t="shared" si="21"/>
        <v>120485.56</v>
      </c>
    </row>
    <row r="132" spans="1:12" ht="15.75" x14ac:dyDescent="0.25">
      <c r="A132" s="85">
        <v>2</v>
      </c>
      <c r="B132" s="119">
        <v>3</v>
      </c>
      <c r="C132" s="119">
        <v>9</v>
      </c>
      <c r="D132" s="85">
        <v>5</v>
      </c>
      <c r="E132" s="85"/>
      <c r="F132" s="135" t="s">
        <v>101</v>
      </c>
      <c r="G132" s="108">
        <v>10000</v>
      </c>
      <c r="H132" s="110"/>
      <c r="I132" s="12" t="e">
        <f>+G132-#REF!</f>
        <v>#REF!</v>
      </c>
      <c r="J132" s="110">
        <f>258.9+29108.9</f>
        <v>29367.800000000003</v>
      </c>
      <c r="K132" s="110"/>
      <c r="L132" s="110">
        <f t="shared" si="21"/>
        <v>29367.800000000003</v>
      </c>
    </row>
    <row r="133" spans="1:12" ht="15.75" x14ac:dyDescent="0.25">
      <c r="A133" s="85">
        <v>2</v>
      </c>
      <c r="B133" s="85">
        <v>3</v>
      </c>
      <c r="C133" s="92">
        <v>9</v>
      </c>
      <c r="D133" s="85">
        <v>8</v>
      </c>
      <c r="E133" s="85"/>
      <c r="F133" s="132" t="s">
        <v>102</v>
      </c>
      <c r="G133" s="108">
        <v>20000</v>
      </c>
      <c r="H133" s="110">
        <v>2600</v>
      </c>
      <c r="I133" s="12" t="e">
        <f>+G133-#REF!</f>
        <v>#REF!</v>
      </c>
      <c r="J133" s="110"/>
      <c r="K133" s="110"/>
      <c r="L133" s="110">
        <f t="shared" si="21"/>
        <v>2600</v>
      </c>
    </row>
    <row r="134" spans="1:12" ht="15.75" x14ac:dyDescent="0.25">
      <c r="A134" s="85">
        <v>2</v>
      </c>
      <c r="B134" s="85">
        <v>3</v>
      </c>
      <c r="C134" s="92">
        <v>9</v>
      </c>
      <c r="D134" s="85">
        <v>9</v>
      </c>
      <c r="E134" s="85"/>
      <c r="F134" s="132" t="s">
        <v>103</v>
      </c>
      <c r="G134" s="108">
        <v>94804</v>
      </c>
      <c r="H134" s="110">
        <f>100+100+100+100+100+195+1200+1103</f>
        <v>2998</v>
      </c>
      <c r="I134" s="12" t="e">
        <f>+G134-#REF!</f>
        <v>#REF!</v>
      </c>
      <c r="J134" s="110">
        <f>6830+258.95</f>
        <v>7088.95</v>
      </c>
      <c r="K134" s="110">
        <v>480</v>
      </c>
      <c r="L134" s="110">
        <f t="shared" si="21"/>
        <v>10566.95</v>
      </c>
    </row>
    <row r="135" spans="1:12" ht="15.75" x14ac:dyDescent="0.25">
      <c r="A135" s="85">
        <v>2</v>
      </c>
      <c r="B135" s="85">
        <v>3</v>
      </c>
      <c r="C135" s="92">
        <v>9</v>
      </c>
      <c r="D135" s="85">
        <v>9</v>
      </c>
      <c r="E135" s="85">
        <v>2</v>
      </c>
      <c r="F135" s="132" t="s">
        <v>104</v>
      </c>
      <c r="G135" s="108"/>
      <c r="H135" s="110">
        <v>0</v>
      </c>
      <c r="I135" s="12">
        <v>0</v>
      </c>
      <c r="J135" s="110">
        <v>0</v>
      </c>
      <c r="K135" s="110"/>
      <c r="L135" s="110">
        <f t="shared" si="21"/>
        <v>0</v>
      </c>
    </row>
    <row r="136" spans="1:12" ht="15.75" x14ac:dyDescent="0.25">
      <c r="A136" s="85"/>
      <c r="B136" s="85"/>
      <c r="C136" s="92"/>
      <c r="D136" s="85"/>
      <c r="E136" s="85"/>
      <c r="F136" s="106"/>
      <c r="G136" s="108"/>
      <c r="H136" s="110"/>
      <c r="I136" s="12"/>
      <c r="J136" s="110"/>
      <c r="K136" s="110"/>
      <c r="L136" s="110"/>
    </row>
    <row r="137" spans="1:12" ht="16.5" thickBot="1" x14ac:dyDescent="0.3">
      <c r="A137" s="85">
        <v>2</v>
      </c>
      <c r="B137" s="85">
        <v>6</v>
      </c>
      <c r="C137" s="92"/>
      <c r="D137" s="85"/>
      <c r="E137" s="93"/>
      <c r="F137" s="104" t="s">
        <v>105</v>
      </c>
      <c r="G137" s="96">
        <f>G138+G146+G150</f>
        <v>0</v>
      </c>
      <c r="H137" s="96">
        <f>H138+H146+H150</f>
        <v>0</v>
      </c>
      <c r="I137" s="6" t="e">
        <f>I138+I146+I150+I139</f>
        <v>#REF!</v>
      </c>
      <c r="J137" s="96">
        <f>J138+J146+J150</f>
        <v>0</v>
      </c>
      <c r="K137" s="96">
        <f>K138+K146+K150</f>
        <v>0</v>
      </c>
      <c r="L137" s="96">
        <f>L138+L146+L150</f>
        <v>0</v>
      </c>
    </row>
    <row r="138" spans="1:12" ht="16.5" thickBot="1" x14ac:dyDescent="0.3">
      <c r="A138" s="85">
        <v>2</v>
      </c>
      <c r="B138" s="85">
        <v>6</v>
      </c>
      <c r="C138" s="92">
        <v>1</v>
      </c>
      <c r="D138" s="85"/>
      <c r="E138" s="119"/>
      <c r="F138" s="128" t="s">
        <v>106</v>
      </c>
      <c r="G138" s="97">
        <f>G140+G141+G142+G144+G145</f>
        <v>0</v>
      </c>
      <c r="H138" s="169">
        <f>+H139+H140+H141+H142+H143+H144</f>
        <v>0</v>
      </c>
      <c r="I138" s="7">
        <f>I140+I141+I142+I144+I145</f>
        <v>0</v>
      </c>
      <c r="J138" s="169">
        <f>+J139+J140+J141+J142+J143+J144</f>
        <v>0</v>
      </c>
      <c r="K138" s="169">
        <f>+K139+K140+K141+K142+K143+K144</f>
        <v>0</v>
      </c>
      <c r="L138" s="169">
        <f>+L139+L140+L141+L142+L143+L144</f>
        <v>0</v>
      </c>
    </row>
    <row r="139" spans="1:12" ht="16.5" thickBot="1" x14ac:dyDescent="0.3">
      <c r="A139" s="85">
        <v>2</v>
      </c>
      <c r="B139" s="85">
        <v>6</v>
      </c>
      <c r="C139" s="92">
        <v>8</v>
      </c>
      <c r="D139" s="85">
        <v>8</v>
      </c>
      <c r="E139" s="119"/>
      <c r="F139" s="136" t="s">
        <v>107</v>
      </c>
      <c r="G139" s="108">
        <f>G141+G142+G143+G145+G146</f>
        <v>0</v>
      </c>
      <c r="H139" s="124">
        <f>H141+H142+H143+H145+H146</f>
        <v>0</v>
      </c>
      <c r="I139" s="7" t="e">
        <f>+G139-#REF!</f>
        <v>#REF!</v>
      </c>
      <c r="J139" s="124">
        <f>J141+J142+J143+J145+J146</f>
        <v>0</v>
      </c>
      <c r="K139" s="124">
        <f>K141+K142+K143+K145+K146</f>
        <v>0</v>
      </c>
      <c r="L139" s="124">
        <f t="shared" ref="L139:L144" si="22">+H139+J139+K139</f>
        <v>0</v>
      </c>
    </row>
    <row r="140" spans="1:12" ht="15.75" x14ac:dyDescent="0.25">
      <c r="A140" s="85">
        <v>2</v>
      </c>
      <c r="B140" s="85">
        <v>6</v>
      </c>
      <c r="C140" s="92">
        <v>1</v>
      </c>
      <c r="D140" s="85">
        <v>1</v>
      </c>
      <c r="E140" s="119"/>
      <c r="F140" s="127" t="s">
        <v>108</v>
      </c>
      <c r="G140" s="108"/>
      <c r="H140" s="110"/>
      <c r="I140" s="13"/>
      <c r="J140" s="110"/>
      <c r="K140" s="110"/>
      <c r="L140" s="110">
        <f t="shared" si="22"/>
        <v>0</v>
      </c>
    </row>
    <row r="141" spans="1:12" ht="15.75" x14ac:dyDescent="0.25">
      <c r="A141" s="85">
        <v>2</v>
      </c>
      <c r="B141" s="85">
        <v>6</v>
      </c>
      <c r="C141" s="92">
        <v>1</v>
      </c>
      <c r="D141" s="85">
        <v>4</v>
      </c>
      <c r="E141" s="119"/>
      <c r="F141" s="127" t="s">
        <v>109</v>
      </c>
      <c r="G141" s="108"/>
      <c r="H141" s="110"/>
      <c r="I141" s="12"/>
      <c r="J141" s="110"/>
      <c r="K141" s="110"/>
      <c r="L141" s="110">
        <f t="shared" si="22"/>
        <v>0</v>
      </c>
    </row>
    <row r="142" spans="1:12" ht="15.75" x14ac:dyDescent="0.25">
      <c r="A142" s="85">
        <v>2</v>
      </c>
      <c r="B142" s="85">
        <v>6</v>
      </c>
      <c r="C142" s="92">
        <v>1</v>
      </c>
      <c r="D142" s="85">
        <v>7</v>
      </c>
      <c r="E142" s="119"/>
      <c r="F142" s="127" t="s">
        <v>110</v>
      </c>
      <c r="G142" s="108"/>
      <c r="H142" s="110">
        <v>0</v>
      </c>
      <c r="I142" s="12">
        <v>0</v>
      </c>
      <c r="J142" s="110">
        <v>0</v>
      </c>
      <c r="K142" s="110"/>
      <c r="L142" s="110">
        <f t="shared" si="22"/>
        <v>0</v>
      </c>
    </row>
    <row r="143" spans="1:12" ht="15.75" x14ac:dyDescent="0.25">
      <c r="A143" s="85">
        <v>2</v>
      </c>
      <c r="B143" s="85">
        <v>6</v>
      </c>
      <c r="C143" s="92">
        <v>1</v>
      </c>
      <c r="D143" s="85">
        <v>8</v>
      </c>
      <c r="E143" s="119"/>
      <c r="F143" s="127" t="s">
        <v>111</v>
      </c>
      <c r="G143" s="108"/>
      <c r="H143" s="110"/>
      <c r="I143" s="12"/>
      <c r="J143" s="110"/>
      <c r="K143" s="110"/>
      <c r="L143" s="110">
        <f t="shared" si="22"/>
        <v>0</v>
      </c>
    </row>
    <row r="144" spans="1:12" ht="24.75" customHeight="1" x14ac:dyDescent="0.25">
      <c r="A144" s="85">
        <v>2</v>
      </c>
      <c r="B144" s="85">
        <v>6</v>
      </c>
      <c r="C144" s="92">
        <v>1</v>
      </c>
      <c r="D144" s="85">
        <v>9</v>
      </c>
      <c r="E144" s="119"/>
      <c r="F144" s="127" t="s">
        <v>112</v>
      </c>
      <c r="G144" s="108"/>
      <c r="H144" s="110"/>
      <c r="I144" s="12"/>
      <c r="J144" s="110"/>
      <c r="K144" s="110"/>
      <c r="L144" s="110">
        <f t="shared" si="22"/>
        <v>0</v>
      </c>
    </row>
    <row r="145" spans="1:15" ht="15.75" x14ac:dyDescent="0.25">
      <c r="A145" s="85"/>
      <c r="B145" s="85"/>
      <c r="C145" s="92"/>
      <c r="D145" s="85"/>
      <c r="E145" s="93"/>
      <c r="F145" s="128"/>
      <c r="G145" s="125"/>
      <c r="H145" s="96"/>
      <c r="I145" s="6">
        <f>+G145</f>
        <v>0</v>
      </c>
      <c r="J145" s="96"/>
      <c r="K145" s="96"/>
      <c r="L145" s="96"/>
    </row>
    <row r="146" spans="1:15" ht="32.25" thickBot="1" x14ac:dyDescent="0.3">
      <c r="A146" s="85">
        <v>2</v>
      </c>
      <c r="B146" s="85">
        <v>6</v>
      </c>
      <c r="C146" s="92">
        <v>2</v>
      </c>
      <c r="D146" s="85"/>
      <c r="E146" s="93"/>
      <c r="F146" s="128" t="s">
        <v>113</v>
      </c>
      <c r="G146" s="95">
        <f t="shared" ref="G146:L146" si="23">G147+G148</f>
        <v>0</v>
      </c>
      <c r="H146" s="117">
        <f t="shared" si="23"/>
        <v>0</v>
      </c>
      <c r="I146" s="19" t="e">
        <f t="shared" si="23"/>
        <v>#REF!</v>
      </c>
      <c r="J146" s="117">
        <f t="shared" si="23"/>
        <v>0</v>
      </c>
      <c r="K146" s="117">
        <f t="shared" si="23"/>
        <v>0</v>
      </c>
      <c r="L146" s="117">
        <f t="shared" si="23"/>
        <v>0</v>
      </c>
    </row>
    <row r="147" spans="1:15" ht="15.75" x14ac:dyDescent="0.25">
      <c r="A147" s="85">
        <v>2</v>
      </c>
      <c r="B147" s="85">
        <v>6</v>
      </c>
      <c r="C147" s="92">
        <v>2</v>
      </c>
      <c r="D147" s="85">
        <v>1</v>
      </c>
      <c r="E147" s="119"/>
      <c r="F147" s="106" t="s">
        <v>114</v>
      </c>
      <c r="G147" s="108"/>
      <c r="H147" s="110">
        <v>0</v>
      </c>
      <c r="I147" s="12">
        <v>0</v>
      </c>
      <c r="J147" s="110">
        <v>0</v>
      </c>
      <c r="K147" s="110"/>
      <c r="L147" s="110">
        <f>+H147+J147+K147</f>
        <v>0</v>
      </c>
    </row>
    <row r="148" spans="1:15" ht="15.75" x14ac:dyDescent="0.25">
      <c r="A148" s="85">
        <v>2</v>
      </c>
      <c r="B148" s="85">
        <v>6</v>
      </c>
      <c r="C148" s="92">
        <v>2</v>
      </c>
      <c r="D148" s="85">
        <v>3</v>
      </c>
      <c r="E148" s="119"/>
      <c r="F148" s="106" t="s">
        <v>115</v>
      </c>
      <c r="G148" s="108"/>
      <c r="H148" s="110">
        <f>G148*12</f>
        <v>0</v>
      </c>
      <c r="I148" s="12" t="e">
        <f>+G148-#REF!</f>
        <v>#REF!</v>
      </c>
      <c r="J148" s="110"/>
      <c r="K148" s="110"/>
      <c r="L148" s="110"/>
    </row>
    <row r="149" spans="1:15" ht="15.75" x14ac:dyDescent="0.25">
      <c r="A149" s="85"/>
      <c r="B149" s="85"/>
      <c r="C149" s="92"/>
      <c r="D149" s="85"/>
      <c r="E149" s="93"/>
      <c r="F149" s="104"/>
      <c r="G149" s="125"/>
      <c r="H149" s="96"/>
      <c r="I149" s="6"/>
      <c r="J149" s="96"/>
      <c r="K149" s="96"/>
      <c r="L149" s="96"/>
    </row>
    <row r="150" spans="1:15" ht="31.5" customHeight="1" thickBot="1" x14ac:dyDescent="0.3">
      <c r="A150" s="85">
        <v>2</v>
      </c>
      <c r="B150" s="85">
        <v>6</v>
      </c>
      <c r="C150" s="92">
        <v>4</v>
      </c>
      <c r="D150" s="85"/>
      <c r="E150" s="93"/>
      <c r="F150" s="104" t="s">
        <v>116</v>
      </c>
      <c r="G150" s="125">
        <f>G152+G153+G151</f>
        <v>0</v>
      </c>
      <c r="H150" s="110">
        <f>H151+H152</f>
        <v>0</v>
      </c>
      <c r="I150" s="12">
        <f>I151+I152</f>
        <v>0</v>
      </c>
      <c r="J150" s="110">
        <f>J151+J152</f>
        <v>0</v>
      </c>
      <c r="K150" s="110">
        <f>K151+K152</f>
        <v>0</v>
      </c>
      <c r="L150" s="110">
        <f>L151+L152</f>
        <v>0</v>
      </c>
    </row>
    <row r="151" spans="1:15" ht="31.5" x14ac:dyDescent="0.25">
      <c r="A151" s="85">
        <v>2</v>
      </c>
      <c r="B151" s="85">
        <v>6</v>
      </c>
      <c r="C151" s="92">
        <v>4</v>
      </c>
      <c r="D151" s="85"/>
      <c r="E151" s="93"/>
      <c r="F151" s="127" t="s">
        <v>116</v>
      </c>
      <c r="G151" s="100"/>
      <c r="H151" s="109">
        <v>0</v>
      </c>
      <c r="I151" s="13">
        <v>0</v>
      </c>
      <c r="J151" s="109">
        <v>0</v>
      </c>
      <c r="K151" s="109"/>
      <c r="L151" s="109">
        <f>+H151+J151+K151</f>
        <v>0</v>
      </c>
    </row>
    <row r="152" spans="1:15" ht="15.75" x14ac:dyDescent="0.25">
      <c r="A152" s="85">
        <v>2</v>
      </c>
      <c r="B152" s="85">
        <v>6</v>
      </c>
      <c r="C152" s="92">
        <v>4</v>
      </c>
      <c r="D152" s="85">
        <v>1</v>
      </c>
      <c r="E152" s="85"/>
      <c r="F152" s="127" t="s">
        <v>117</v>
      </c>
      <c r="G152" s="108"/>
      <c r="H152" s="110">
        <v>0</v>
      </c>
      <c r="I152" s="12">
        <v>0</v>
      </c>
      <c r="J152" s="110">
        <v>0</v>
      </c>
      <c r="K152" s="110"/>
      <c r="L152" s="110">
        <f>+H152+J152</f>
        <v>0</v>
      </c>
    </row>
    <row r="153" spans="1:15" ht="15.75" x14ac:dyDescent="0.25">
      <c r="A153" s="85">
        <v>2</v>
      </c>
      <c r="B153" s="85">
        <v>6</v>
      </c>
      <c r="C153" s="92">
        <v>4</v>
      </c>
      <c r="D153" s="85">
        <v>7</v>
      </c>
      <c r="E153" s="85"/>
      <c r="F153" s="127" t="s">
        <v>118</v>
      </c>
      <c r="G153" s="108">
        <v>0</v>
      </c>
      <c r="H153" s="110">
        <v>0</v>
      </c>
      <c r="I153" s="12">
        <v>0</v>
      </c>
      <c r="J153" s="110">
        <v>0</v>
      </c>
      <c r="K153" s="110"/>
      <c r="L153" s="110">
        <v>0</v>
      </c>
    </row>
    <row r="154" spans="1:15" ht="16.5" thickBot="1" x14ac:dyDescent="0.3">
      <c r="A154" s="85"/>
      <c r="B154" s="85"/>
      <c r="C154" s="92"/>
      <c r="D154" s="84"/>
      <c r="E154" s="85"/>
      <c r="F154" s="127"/>
      <c r="G154" s="111"/>
      <c r="H154" s="117"/>
      <c r="I154" s="12"/>
      <c r="J154" s="117"/>
      <c r="K154" s="117"/>
      <c r="L154" s="117"/>
    </row>
    <row r="155" spans="1:15" ht="16.5" thickBot="1" x14ac:dyDescent="0.3">
      <c r="A155" s="137"/>
      <c r="B155" s="137"/>
      <c r="C155" s="138"/>
      <c r="D155" s="139"/>
      <c r="E155" s="139"/>
      <c r="F155" s="140" t="s">
        <v>119</v>
      </c>
      <c r="G155" s="95">
        <f t="shared" ref="G155:L155" si="24">G111+G49+G13</f>
        <v>42039167</v>
      </c>
      <c r="H155" s="165">
        <f t="shared" si="24"/>
        <v>3087103.98</v>
      </c>
      <c r="I155" s="165" t="e">
        <f t="shared" si="24"/>
        <v>#REF!</v>
      </c>
      <c r="J155" s="165">
        <f t="shared" si="24"/>
        <v>3272561.4400000004</v>
      </c>
      <c r="K155" s="165">
        <f t="shared" si="24"/>
        <v>3296314.58</v>
      </c>
      <c r="L155" s="165">
        <f t="shared" si="24"/>
        <v>9655980</v>
      </c>
    </row>
    <row r="156" spans="1:15" ht="15.75" x14ac:dyDescent="0.25">
      <c r="A156" s="141"/>
      <c r="B156" s="141"/>
      <c r="C156" s="66"/>
      <c r="D156" s="66"/>
      <c r="E156" s="66"/>
      <c r="F156" s="66"/>
      <c r="G156" s="142"/>
      <c r="H156" s="143"/>
      <c r="I156" s="1"/>
      <c r="J156" s="23"/>
      <c r="K156" s="23"/>
      <c r="L156" s="23"/>
      <c r="N156" s="11"/>
    </row>
    <row r="157" spans="1:15" ht="18" x14ac:dyDescent="0.25">
      <c r="A157" s="141"/>
      <c r="B157" s="141"/>
      <c r="C157" s="66"/>
      <c r="D157" s="66"/>
      <c r="E157" s="144"/>
      <c r="F157" s="145"/>
      <c r="G157" s="142"/>
      <c r="H157" s="146"/>
      <c r="I157" s="31"/>
      <c r="J157" s="23"/>
      <c r="K157" s="23"/>
      <c r="L157" s="23"/>
    </row>
    <row r="158" spans="1:15" ht="18" x14ac:dyDescent="0.25">
      <c r="A158" s="141"/>
      <c r="B158" s="141"/>
      <c r="C158" s="66"/>
      <c r="D158" s="66"/>
      <c r="E158" s="147"/>
      <c r="F158" s="148"/>
      <c r="G158" s="149"/>
      <c r="H158" s="150"/>
      <c r="I158" s="33"/>
      <c r="J158" s="34"/>
      <c r="K158" s="34"/>
      <c r="L158" s="34"/>
    </row>
    <row r="159" spans="1:15" ht="19.5" thickBot="1" x14ac:dyDescent="0.35">
      <c r="A159" s="64"/>
      <c r="B159" s="64"/>
      <c r="C159" s="64"/>
      <c r="D159" s="64"/>
      <c r="E159" s="64"/>
      <c r="F159" s="148"/>
      <c r="G159" s="151"/>
      <c r="H159" s="151"/>
      <c r="I159" s="35"/>
      <c r="J159" s="37"/>
      <c r="K159" s="37"/>
      <c r="L159" s="37"/>
      <c r="M159" s="38"/>
      <c r="N159" s="11"/>
    </row>
    <row r="160" spans="1:15" ht="18.75" x14ac:dyDescent="0.3">
      <c r="A160" s="64"/>
      <c r="B160" s="64"/>
      <c r="C160" s="64"/>
      <c r="D160" s="64"/>
      <c r="E160" s="64"/>
      <c r="F160" s="152" t="s">
        <v>120</v>
      </c>
      <c r="G160" s="151"/>
      <c r="H160" s="151"/>
      <c r="I160" s="32"/>
      <c r="J160" s="39"/>
      <c r="K160" s="39"/>
      <c r="L160" s="39"/>
      <c r="O160" s="11"/>
    </row>
    <row r="161" spans="1:18" ht="18.75" x14ac:dyDescent="0.3">
      <c r="A161" s="64"/>
      <c r="B161" s="64"/>
      <c r="C161" s="64"/>
      <c r="D161" s="64"/>
      <c r="E161" s="64"/>
      <c r="F161" s="148" t="s">
        <v>121</v>
      </c>
      <c r="G161" s="153"/>
      <c r="H161" s="151"/>
      <c r="I161" s="32"/>
      <c r="J161" s="39"/>
      <c r="K161" s="39"/>
      <c r="L161" s="39"/>
      <c r="O161" s="11"/>
      <c r="P161" s="11"/>
    </row>
    <row r="162" spans="1:18" ht="18.75" x14ac:dyDescent="0.3">
      <c r="A162" s="64"/>
      <c r="B162" s="64"/>
      <c r="C162" s="64"/>
      <c r="D162" s="64"/>
      <c r="E162" s="64"/>
      <c r="F162" s="148"/>
      <c r="G162" s="153"/>
      <c r="H162" s="151"/>
      <c r="I162" s="32"/>
      <c r="J162" s="39"/>
      <c r="K162" s="39"/>
      <c r="L162" s="39"/>
      <c r="O162" s="11"/>
      <c r="P162" s="11"/>
    </row>
    <row r="163" spans="1:18" ht="18.75" x14ac:dyDescent="0.3">
      <c r="A163" s="64"/>
      <c r="B163" s="64"/>
      <c r="C163" s="64"/>
      <c r="D163" s="64"/>
      <c r="E163" s="64"/>
      <c r="F163" s="148"/>
      <c r="G163" s="151"/>
      <c r="H163" s="151"/>
      <c r="I163" s="32"/>
      <c r="J163" s="39"/>
      <c r="K163" s="39"/>
      <c r="L163" s="39"/>
      <c r="M163" s="23"/>
      <c r="N163" s="11"/>
      <c r="O163" s="11"/>
      <c r="P163" s="11"/>
    </row>
    <row r="164" spans="1:18" ht="18.75" x14ac:dyDescent="0.3">
      <c r="A164" s="64"/>
      <c r="B164" s="64"/>
      <c r="C164" s="64"/>
      <c r="D164" s="64"/>
      <c r="E164" s="64"/>
      <c r="F164" s="148"/>
      <c r="G164" s="153"/>
      <c r="H164" s="23"/>
      <c r="I164" s="44"/>
      <c r="J164" s="161"/>
      <c r="K164" s="161"/>
      <c r="L164" s="161"/>
      <c r="M164" s="23"/>
      <c r="P164" s="11"/>
    </row>
    <row r="165" spans="1:18" ht="18.75" x14ac:dyDescent="0.3">
      <c r="A165" s="64"/>
      <c r="B165" s="64"/>
      <c r="C165" s="64"/>
      <c r="D165" s="64"/>
      <c r="E165" s="64"/>
      <c r="F165" s="148"/>
      <c r="G165" s="153"/>
      <c r="H165" s="23"/>
      <c r="I165" s="44"/>
      <c r="J165" s="161"/>
      <c r="K165" s="161"/>
      <c r="L165" s="161"/>
      <c r="M165" s="23"/>
      <c r="P165" s="11"/>
    </row>
    <row r="166" spans="1:18" ht="18.75" x14ac:dyDescent="0.3">
      <c r="A166" s="64"/>
      <c r="B166" s="64"/>
      <c r="C166" s="64"/>
      <c r="D166" s="64"/>
      <c r="E166" s="64"/>
      <c r="F166" s="148"/>
      <c r="G166" s="153"/>
      <c r="H166" s="23"/>
      <c r="I166" s="44"/>
      <c r="J166" s="161"/>
      <c r="K166" s="161"/>
      <c r="L166" s="161"/>
      <c r="M166" s="23"/>
      <c r="P166" s="11"/>
    </row>
    <row r="167" spans="1:18" ht="19.5" thickBot="1" x14ac:dyDescent="0.35">
      <c r="A167" s="64"/>
      <c r="B167" s="64"/>
      <c r="C167" s="64"/>
      <c r="D167" s="64"/>
      <c r="E167" s="64"/>
      <c r="F167" s="156"/>
      <c r="G167" s="153"/>
      <c r="H167" s="23"/>
      <c r="I167" s="44"/>
      <c r="J167" s="161"/>
      <c r="K167" s="161"/>
      <c r="L167" s="161"/>
      <c r="M167" s="23"/>
      <c r="P167" s="11"/>
    </row>
    <row r="168" spans="1:18" ht="18" x14ac:dyDescent="0.25">
      <c r="A168" s="64"/>
      <c r="B168" s="64"/>
      <c r="C168" s="64"/>
      <c r="D168" s="64"/>
      <c r="E168" s="64"/>
      <c r="F168" s="148" t="s">
        <v>122</v>
      </c>
      <c r="G168" s="154"/>
      <c r="H168" s="23"/>
      <c r="I168" s="33"/>
      <c r="J168" s="46"/>
      <c r="K168" s="46"/>
      <c r="L168" s="46"/>
      <c r="M168" s="23"/>
      <c r="N168" s="11"/>
      <c r="O168" s="11"/>
      <c r="R168" s="11"/>
    </row>
    <row r="169" spans="1:18" ht="18" x14ac:dyDescent="0.25">
      <c r="A169" s="64"/>
      <c r="B169" s="64"/>
      <c r="C169" s="64"/>
      <c r="D169" s="64"/>
      <c r="E169" s="64"/>
      <c r="F169" s="148" t="s">
        <v>123</v>
      </c>
      <c r="G169" s="154"/>
      <c r="H169" s="23"/>
      <c r="I169" s="33"/>
      <c r="J169" s="46"/>
      <c r="K169" s="46"/>
      <c r="L169" s="46"/>
      <c r="M169" s="23"/>
      <c r="N169" s="11"/>
      <c r="P169" s="11"/>
    </row>
    <row r="170" spans="1:18" ht="18" x14ac:dyDescent="0.25">
      <c r="A170" s="64"/>
      <c r="B170" s="64"/>
      <c r="C170" s="64"/>
      <c r="D170" s="64"/>
      <c r="E170" s="64"/>
      <c r="F170" s="148"/>
      <c r="G170" s="155"/>
      <c r="H170" s="23"/>
      <c r="I170" s="49"/>
      <c r="J170" s="11"/>
      <c r="K170" s="11"/>
      <c r="L170" s="11"/>
      <c r="M170" s="23"/>
      <c r="R170" s="11"/>
    </row>
    <row r="171" spans="1:18" ht="15.75" x14ac:dyDescent="0.25">
      <c r="A171" s="64"/>
      <c r="B171" s="64"/>
      <c r="C171" s="64"/>
      <c r="D171" s="64"/>
      <c r="E171" s="64"/>
      <c r="F171" s="141"/>
      <c r="G171" s="155"/>
      <c r="H171" s="23"/>
      <c r="I171" s="49"/>
      <c r="J171" s="23"/>
      <c r="K171" s="23"/>
      <c r="L171" s="23"/>
      <c r="M171" s="23"/>
      <c r="O171" s="11"/>
      <c r="P171" s="11"/>
    </row>
    <row r="172" spans="1:18" ht="15.75" x14ac:dyDescent="0.25">
      <c r="A172" s="64"/>
      <c r="B172" s="64"/>
      <c r="C172" s="64"/>
      <c r="D172" s="64"/>
      <c r="E172" s="64"/>
      <c r="F172" s="141"/>
      <c r="G172" s="155"/>
      <c r="H172" s="23"/>
      <c r="I172" s="49"/>
      <c r="J172" s="23"/>
      <c r="K172" s="23"/>
      <c r="L172" s="23"/>
      <c r="M172" s="23"/>
      <c r="O172" s="11"/>
    </row>
    <row r="173" spans="1:18" ht="18" x14ac:dyDescent="0.25">
      <c r="A173" s="64"/>
      <c r="B173" s="64"/>
      <c r="C173" s="64"/>
      <c r="D173" s="64"/>
      <c r="E173" s="64"/>
      <c r="F173" s="64"/>
      <c r="G173" s="157"/>
      <c r="H173" s="23"/>
      <c r="I173" s="48"/>
      <c r="J173" s="23"/>
      <c r="K173" s="23"/>
      <c r="L173" s="23"/>
      <c r="M173" s="52"/>
      <c r="Q173" s="11"/>
    </row>
    <row r="174" spans="1:18" ht="18.75" thickBot="1" x14ac:dyDescent="0.3">
      <c r="A174" s="64"/>
      <c r="B174" s="64"/>
      <c r="C174" s="64"/>
      <c r="D174" s="64"/>
      <c r="E174" s="64"/>
      <c r="F174" s="64"/>
      <c r="G174" s="148"/>
      <c r="H174" s="23"/>
      <c r="I174" s="43"/>
      <c r="J174" s="23"/>
      <c r="K174" s="171"/>
      <c r="L174" s="23"/>
      <c r="M174" s="54"/>
      <c r="N174" s="18"/>
      <c r="O174" s="11"/>
      <c r="P174" s="11"/>
    </row>
    <row r="175" spans="1:18" ht="19.5" thickTop="1" thickBot="1" x14ac:dyDescent="0.3">
      <c r="A175" s="64"/>
      <c r="B175" s="64"/>
      <c r="C175" s="64"/>
      <c r="D175" s="64"/>
      <c r="E175" s="64"/>
      <c r="F175" s="156"/>
      <c r="G175" s="148"/>
      <c r="H175" s="158"/>
      <c r="I175" s="43"/>
      <c r="J175" s="23"/>
      <c r="K175" s="170"/>
      <c r="L175" s="23"/>
      <c r="M175" s="23"/>
      <c r="N175" s="11"/>
    </row>
    <row r="176" spans="1:18" ht="18" x14ac:dyDescent="0.25">
      <c r="A176" s="64"/>
      <c r="B176" s="64"/>
      <c r="C176" s="64"/>
      <c r="D176" s="159"/>
      <c r="E176" s="64"/>
      <c r="F176" s="148" t="s">
        <v>124</v>
      </c>
      <c r="G176" s="159"/>
      <c r="H176" s="158"/>
      <c r="I176" s="43"/>
      <c r="J176" s="23"/>
      <c r="K176" s="170"/>
      <c r="L176" s="23"/>
      <c r="M176" s="23"/>
      <c r="O176" s="18"/>
    </row>
    <row r="177" spans="1:18" ht="18" x14ac:dyDescent="0.25">
      <c r="A177" s="64"/>
      <c r="B177" s="64"/>
      <c r="C177" s="64"/>
      <c r="D177" s="64"/>
      <c r="E177" s="64"/>
      <c r="F177" s="148" t="s">
        <v>125</v>
      </c>
      <c r="G177" s="64"/>
      <c r="H177" s="160"/>
      <c r="I177" s="56"/>
      <c r="J177" s="23"/>
      <c r="K177" s="170"/>
      <c r="L177" s="23"/>
      <c r="M177" s="52"/>
      <c r="N177" s="11"/>
    </row>
    <row r="178" spans="1:18" ht="18" x14ac:dyDescent="0.25">
      <c r="A178" s="64"/>
      <c r="B178" s="64"/>
      <c r="C178" s="64"/>
      <c r="D178" s="64"/>
      <c r="E178" s="64"/>
      <c r="F178" s="148"/>
      <c r="G178" s="64"/>
      <c r="H178" s="160"/>
      <c r="I178" s="56"/>
      <c r="J178" s="23"/>
      <c r="K178" s="178"/>
      <c r="L178" s="23"/>
      <c r="M178" s="56"/>
    </row>
    <row r="179" spans="1:18" x14ac:dyDescent="0.25">
      <c r="A179" s="64"/>
      <c r="B179" s="64"/>
      <c r="C179" s="64"/>
      <c r="D179" s="64"/>
      <c r="E179" s="64"/>
      <c r="F179" s="64"/>
      <c r="G179" s="64"/>
      <c r="H179" s="160"/>
      <c r="I179" s="56"/>
      <c r="J179" s="23"/>
      <c r="K179" s="171"/>
      <c r="L179" s="23"/>
      <c r="M179" s="56"/>
      <c r="O179" s="11"/>
    </row>
    <row r="180" spans="1:18" x14ac:dyDescent="0.25">
      <c r="A180" s="64"/>
      <c r="B180" s="64"/>
      <c r="C180" s="64"/>
      <c r="D180" s="64"/>
      <c r="E180" s="64"/>
      <c r="F180" s="64"/>
      <c r="G180" s="64"/>
      <c r="H180" s="160"/>
      <c r="I180" s="23"/>
      <c r="J180" s="23"/>
      <c r="K180" s="171"/>
      <c r="L180" s="23"/>
      <c r="M180" s="56"/>
      <c r="Q180" s="23"/>
    </row>
    <row r="181" spans="1:18" x14ac:dyDescent="0.25">
      <c r="A181" s="64"/>
      <c r="B181" s="64"/>
      <c r="C181" s="64"/>
      <c r="D181" s="64"/>
      <c r="E181" s="64"/>
      <c r="F181" s="64"/>
      <c r="G181" s="64"/>
      <c r="H181" s="160"/>
      <c r="I181" s="23"/>
      <c r="J181" s="23"/>
      <c r="K181" s="171"/>
      <c r="L181" s="23"/>
      <c r="M181" s="56"/>
      <c r="O181" s="11"/>
      <c r="Q181" s="23"/>
    </row>
    <row r="182" spans="1:18" x14ac:dyDescent="0.25">
      <c r="A182" s="64"/>
      <c r="B182" s="64"/>
      <c r="C182" s="64"/>
      <c r="D182" s="64"/>
      <c r="E182" s="64"/>
      <c r="G182" s="64"/>
      <c r="H182" s="160"/>
      <c r="I182" s="23"/>
      <c r="J182" s="23"/>
      <c r="K182" s="23"/>
      <c r="L182" s="23"/>
      <c r="M182" s="56"/>
      <c r="O182" s="11"/>
      <c r="Q182" s="23"/>
    </row>
    <row r="183" spans="1:18" x14ac:dyDescent="0.25">
      <c r="A183" s="64"/>
      <c r="B183" s="64"/>
      <c r="C183" s="64"/>
      <c r="D183" s="64"/>
      <c r="E183" s="64"/>
      <c r="G183" s="64"/>
      <c r="H183" s="65"/>
      <c r="I183" s="23"/>
      <c r="J183" s="23"/>
      <c r="K183" s="23"/>
      <c r="L183" s="23"/>
      <c r="M183" s="56"/>
      <c r="Q183" s="23"/>
    </row>
    <row r="184" spans="1:18" x14ac:dyDescent="0.25">
      <c r="A184" s="64"/>
      <c r="B184" s="64"/>
      <c r="C184" s="64"/>
      <c r="D184" s="64"/>
      <c r="E184" s="64"/>
      <c r="G184" s="64"/>
      <c r="H184" s="65"/>
      <c r="I184" s="23"/>
      <c r="J184" s="23"/>
      <c r="K184" s="23"/>
      <c r="L184" s="23"/>
      <c r="M184" s="56"/>
      <c r="Q184" s="23"/>
    </row>
    <row r="185" spans="1:18" ht="18" x14ac:dyDescent="0.25">
      <c r="A185" s="64"/>
      <c r="B185" s="64"/>
      <c r="C185" s="64"/>
      <c r="D185" s="64"/>
      <c r="E185" s="64"/>
      <c r="F185" s="148"/>
      <c r="G185" s="64"/>
      <c r="H185" s="65"/>
      <c r="I185" s="23"/>
      <c r="J185" s="23"/>
      <c r="K185" s="23"/>
      <c r="L185" s="23"/>
      <c r="M185" s="56"/>
      <c r="Q185" s="23"/>
    </row>
    <row r="186" spans="1:18" x14ac:dyDescent="0.25">
      <c r="A186" s="64"/>
      <c r="B186" s="64"/>
      <c r="C186" s="64"/>
      <c r="D186" s="64"/>
      <c r="E186" s="64"/>
      <c r="F186" s="64"/>
      <c r="G186" s="64"/>
      <c r="H186" s="65"/>
      <c r="I186" s="23"/>
      <c r="J186" s="23"/>
      <c r="K186" s="23"/>
      <c r="L186" s="23"/>
      <c r="M186" s="56"/>
      <c r="O186" s="11"/>
      <c r="Q186" s="11"/>
      <c r="R186" s="11"/>
    </row>
    <row r="187" spans="1:18" x14ac:dyDescent="0.25">
      <c r="A187" s="64"/>
      <c r="B187" s="64"/>
      <c r="C187" s="64"/>
      <c r="D187" s="64"/>
      <c r="E187" s="64"/>
      <c r="F187" s="64"/>
      <c r="G187" s="64"/>
      <c r="H187" s="65"/>
      <c r="I187" s="23"/>
      <c r="J187" s="23"/>
      <c r="K187" s="23"/>
      <c r="L187" s="23"/>
      <c r="M187" s="56"/>
      <c r="O187" s="23"/>
    </row>
    <row r="188" spans="1:18" x14ac:dyDescent="0.25">
      <c r="A188" s="64"/>
      <c r="B188" s="64"/>
      <c r="C188" s="64"/>
      <c r="D188" s="64"/>
      <c r="E188" s="64"/>
      <c r="F188" s="64"/>
      <c r="G188" s="64"/>
      <c r="H188" s="65"/>
      <c r="I188" s="23"/>
      <c r="J188" s="23"/>
      <c r="K188" s="23"/>
      <c r="L188" s="23"/>
      <c r="M188" s="56"/>
      <c r="Q188" s="11"/>
    </row>
    <row r="189" spans="1:18" x14ac:dyDescent="0.25">
      <c r="H189" s="30"/>
      <c r="I189" s="23"/>
      <c r="J189" s="23"/>
      <c r="K189" s="23"/>
      <c r="L189" s="23"/>
      <c r="M189" s="59"/>
    </row>
    <row r="190" spans="1:18" x14ac:dyDescent="0.25">
      <c r="I190" s="23"/>
      <c r="J190" s="23"/>
      <c r="K190" s="23"/>
      <c r="L190" s="23"/>
      <c r="M190" s="60"/>
    </row>
    <row r="191" spans="1:18" ht="15.75" thickBot="1" x14ac:dyDescent="0.3">
      <c r="I191" s="23"/>
      <c r="J191" s="23"/>
      <c r="K191" s="23"/>
      <c r="L191" s="23"/>
      <c r="M191" s="61"/>
      <c r="O191" s="11"/>
    </row>
    <row r="192" spans="1:18" ht="15.75" thickBot="1" x14ac:dyDescent="0.3">
      <c r="I192" s="23"/>
      <c r="J192" s="23"/>
      <c r="K192" s="23"/>
      <c r="L192" s="23"/>
      <c r="M192" s="63"/>
      <c r="N192" s="23"/>
      <c r="O192" s="11"/>
    </row>
    <row r="193" spans="9:13" ht="15.75" thickTop="1" x14ac:dyDescent="0.25">
      <c r="I193" s="23"/>
      <c r="J193" s="23"/>
      <c r="K193" s="23"/>
      <c r="L193" s="23"/>
      <c r="M193" s="23"/>
    </row>
    <row r="194" spans="9:13" x14ac:dyDescent="0.25">
      <c r="I194" s="23"/>
      <c r="J194" s="23"/>
      <c r="K194" s="23"/>
      <c r="L194" s="23"/>
      <c r="M194" s="23"/>
    </row>
    <row r="195" spans="9:13" x14ac:dyDescent="0.25">
      <c r="I195" s="23"/>
      <c r="J195" s="23"/>
      <c r="K195" s="23"/>
      <c r="L195" s="23"/>
    </row>
    <row r="196" spans="9:13" x14ac:dyDescent="0.25">
      <c r="I196" s="23"/>
      <c r="J196" s="23"/>
      <c r="K196" s="23"/>
      <c r="L196" s="23"/>
    </row>
    <row r="197" spans="9:13" x14ac:dyDescent="0.25">
      <c r="I197" s="23"/>
      <c r="J197" s="23"/>
      <c r="K197" s="23"/>
      <c r="L197" s="23"/>
    </row>
    <row r="198" spans="9:13" x14ac:dyDescent="0.25">
      <c r="I198" s="23"/>
      <c r="J198" s="23"/>
      <c r="K198" s="23"/>
      <c r="L198" s="23"/>
    </row>
    <row r="199" spans="9:13" x14ac:dyDescent="0.25">
      <c r="I199" s="23"/>
      <c r="J199" s="23"/>
      <c r="K199" s="23"/>
      <c r="L199" s="23"/>
    </row>
    <row r="200" spans="9:13" x14ac:dyDescent="0.25">
      <c r="I200" s="23"/>
      <c r="J200" s="23"/>
      <c r="K200" s="23"/>
      <c r="L200" s="23"/>
    </row>
    <row r="201" spans="9:13" x14ac:dyDescent="0.25">
      <c r="I201" s="23"/>
      <c r="J201" s="23"/>
      <c r="K201" s="23"/>
      <c r="L201" s="23"/>
    </row>
    <row r="202" spans="9:13" x14ac:dyDescent="0.25">
      <c r="I202" s="23"/>
      <c r="J202" s="23"/>
      <c r="K202" s="23"/>
      <c r="L202" s="23"/>
    </row>
    <row r="203" spans="9:13" x14ac:dyDescent="0.25">
      <c r="I203" s="23"/>
      <c r="J203" s="23"/>
      <c r="K203" s="23"/>
      <c r="L203" s="23"/>
    </row>
    <row r="204" spans="9:13" x14ac:dyDescent="0.25">
      <c r="I204" s="23"/>
      <c r="J204" s="23"/>
      <c r="K204" s="23"/>
      <c r="L204" s="23"/>
    </row>
    <row r="205" spans="9:13" x14ac:dyDescent="0.25">
      <c r="I205" s="23"/>
      <c r="J205" s="23"/>
      <c r="K205" s="23"/>
      <c r="L205" s="23"/>
    </row>
    <row r="206" spans="9:13" x14ac:dyDescent="0.25">
      <c r="I206" s="23"/>
      <c r="J206" s="23"/>
      <c r="K206" s="23"/>
      <c r="L206" s="23"/>
    </row>
    <row r="207" spans="9:13" x14ac:dyDescent="0.25">
      <c r="I207" s="23"/>
      <c r="J207" s="23"/>
      <c r="K207" s="23"/>
      <c r="L207" s="23"/>
    </row>
    <row r="208" spans="9:13" x14ac:dyDescent="0.25">
      <c r="I208" s="23"/>
      <c r="J208" s="23"/>
      <c r="K208" s="23"/>
      <c r="L208" s="23"/>
    </row>
    <row r="209" spans="9:12" x14ac:dyDescent="0.25">
      <c r="I209" s="23"/>
      <c r="J209" s="23"/>
      <c r="K209" s="23"/>
      <c r="L209" s="23"/>
    </row>
    <row r="210" spans="9:12" x14ac:dyDescent="0.25">
      <c r="I210" s="23"/>
      <c r="J210" s="23"/>
      <c r="K210" s="23"/>
      <c r="L210" s="23"/>
    </row>
    <row r="211" spans="9:12" x14ac:dyDescent="0.25">
      <c r="I211" s="23"/>
      <c r="J211" s="23"/>
      <c r="K211" s="23"/>
      <c r="L211" s="23"/>
    </row>
    <row r="212" spans="9:12" x14ac:dyDescent="0.25">
      <c r="I212" s="23"/>
      <c r="J212" s="23"/>
      <c r="K212" s="23"/>
      <c r="L212" s="23"/>
    </row>
    <row r="213" spans="9:12" x14ac:dyDescent="0.25">
      <c r="I213" s="23"/>
      <c r="J213" s="23"/>
      <c r="K213" s="23"/>
      <c r="L213" s="23"/>
    </row>
    <row r="214" spans="9:12" x14ac:dyDescent="0.25">
      <c r="I214" s="23"/>
      <c r="J214" s="23"/>
      <c r="K214" s="23"/>
      <c r="L214" s="23"/>
    </row>
    <row r="215" spans="9:12" x14ac:dyDescent="0.25">
      <c r="I215" s="23"/>
      <c r="J215" s="23"/>
      <c r="K215" s="23"/>
      <c r="L215" s="23"/>
    </row>
    <row r="216" spans="9:12" x14ac:dyDescent="0.25">
      <c r="I216" s="23"/>
      <c r="J216" s="23"/>
      <c r="K216" s="23"/>
      <c r="L216" s="23"/>
    </row>
    <row r="217" spans="9:12" x14ac:dyDescent="0.25">
      <c r="I217" s="23"/>
      <c r="J217" s="23"/>
      <c r="K217" s="23"/>
      <c r="L217" s="23"/>
    </row>
    <row r="218" spans="9:12" x14ac:dyDescent="0.25">
      <c r="I218" s="23"/>
      <c r="J218" s="23"/>
      <c r="K218" s="23"/>
      <c r="L218" s="23"/>
    </row>
    <row r="219" spans="9:12" x14ac:dyDescent="0.25">
      <c r="I219" s="23"/>
      <c r="J219" s="23"/>
      <c r="K219" s="23"/>
      <c r="L219" s="23"/>
    </row>
    <row r="220" spans="9:12" x14ac:dyDescent="0.25">
      <c r="I220" s="23"/>
      <c r="J220" s="23"/>
      <c r="K220" s="23"/>
      <c r="L220" s="23"/>
    </row>
    <row r="221" spans="9:12" x14ac:dyDescent="0.25">
      <c r="I221" s="23"/>
      <c r="J221" s="23"/>
      <c r="K221" s="23"/>
      <c r="L221" s="23"/>
    </row>
    <row r="222" spans="9:12" x14ac:dyDescent="0.25">
      <c r="I222" s="23"/>
      <c r="J222" s="23"/>
      <c r="K222" s="23"/>
      <c r="L222" s="23"/>
    </row>
    <row r="223" spans="9:12" x14ac:dyDescent="0.25">
      <c r="I223" s="23"/>
      <c r="J223" s="23"/>
      <c r="K223" s="23"/>
      <c r="L223" s="23"/>
    </row>
    <row r="224" spans="9:12" x14ac:dyDescent="0.25">
      <c r="I224" s="23"/>
      <c r="J224" s="23"/>
      <c r="K224" s="23"/>
      <c r="L224" s="23"/>
    </row>
    <row r="225" spans="9:12" x14ac:dyDescent="0.25">
      <c r="I225" s="23"/>
      <c r="J225" s="23"/>
      <c r="K225" s="23"/>
      <c r="L225" s="23"/>
    </row>
    <row r="226" spans="9:12" x14ac:dyDescent="0.25">
      <c r="I226" s="23"/>
      <c r="J226" s="23"/>
      <c r="K226" s="23"/>
      <c r="L226" s="23"/>
    </row>
    <row r="227" spans="9:12" x14ac:dyDescent="0.25">
      <c r="I227" s="23"/>
      <c r="J227" s="23"/>
      <c r="K227" s="23"/>
      <c r="L227" s="23"/>
    </row>
    <row r="228" spans="9:12" x14ac:dyDescent="0.25">
      <c r="I228" s="23"/>
      <c r="J228" s="23"/>
      <c r="K228" s="23"/>
      <c r="L228" s="23"/>
    </row>
    <row r="229" spans="9:12" x14ac:dyDescent="0.25">
      <c r="I229" s="23"/>
      <c r="J229" s="23"/>
      <c r="K229" s="23"/>
      <c r="L229" s="23"/>
    </row>
    <row r="230" spans="9:12" x14ac:dyDescent="0.25">
      <c r="I230" s="23"/>
      <c r="J230" s="23"/>
      <c r="K230" s="23"/>
      <c r="L230" s="23"/>
    </row>
    <row r="231" spans="9:12" x14ac:dyDescent="0.25">
      <c r="I231" s="23"/>
      <c r="J231" s="23"/>
      <c r="K231" s="23"/>
      <c r="L231" s="23"/>
    </row>
    <row r="232" spans="9:12" x14ac:dyDescent="0.25">
      <c r="I232" s="23"/>
      <c r="J232" s="23"/>
      <c r="K232" s="23"/>
      <c r="L232" s="23"/>
    </row>
    <row r="233" spans="9:12" x14ac:dyDescent="0.25">
      <c r="I233" s="23"/>
      <c r="J233" s="23"/>
      <c r="K233" s="23"/>
      <c r="L233" s="23"/>
    </row>
    <row r="234" spans="9:12" x14ac:dyDescent="0.25">
      <c r="I234" s="23"/>
      <c r="J234" s="23"/>
      <c r="K234" s="23"/>
      <c r="L234" s="23"/>
    </row>
    <row r="235" spans="9:12" x14ac:dyDescent="0.25">
      <c r="I235" s="23"/>
      <c r="J235" s="23"/>
      <c r="K235" s="23"/>
      <c r="L235" s="23"/>
    </row>
    <row r="236" spans="9:12" x14ac:dyDescent="0.25">
      <c r="I236" s="23"/>
      <c r="J236" s="23"/>
      <c r="K236" s="23"/>
      <c r="L236" s="23"/>
    </row>
    <row r="237" spans="9:12" x14ac:dyDescent="0.25">
      <c r="I237" s="23"/>
      <c r="J237" s="23"/>
      <c r="K237" s="23"/>
      <c r="L237" s="23"/>
    </row>
    <row r="238" spans="9:12" x14ac:dyDescent="0.25">
      <c r="I238" s="23"/>
      <c r="J238" s="23"/>
      <c r="K238" s="23"/>
      <c r="L238" s="23"/>
    </row>
    <row r="239" spans="9:12" x14ac:dyDescent="0.25">
      <c r="I239" s="23"/>
      <c r="J239" s="23"/>
      <c r="K239" s="23"/>
      <c r="L239" s="23"/>
    </row>
    <row r="240" spans="9:12" x14ac:dyDescent="0.25">
      <c r="I240" s="23"/>
      <c r="J240" s="23"/>
      <c r="K240" s="23"/>
      <c r="L240" s="23"/>
    </row>
    <row r="241" spans="9:12" x14ac:dyDescent="0.25">
      <c r="I241" s="23"/>
      <c r="J241" s="23"/>
      <c r="K241" s="23"/>
      <c r="L241" s="23"/>
    </row>
    <row r="242" spans="9:12" x14ac:dyDescent="0.25">
      <c r="I242" s="23"/>
      <c r="J242" s="23"/>
      <c r="K242" s="23"/>
      <c r="L242" s="23"/>
    </row>
    <row r="243" spans="9:12" x14ac:dyDescent="0.25">
      <c r="I243" s="23"/>
      <c r="J243" s="23"/>
      <c r="K243" s="23"/>
      <c r="L243" s="23"/>
    </row>
    <row r="244" spans="9:12" x14ac:dyDescent="0.25">
      <c r="I244" s="23"/>
      <c r="J244" s="23"/>
      <c r="K244" s="23"/>
      <c r="L244" s="23"/>
    </row>
    <row r="245" spans="9:12" x14ac:dyDescent="0.25">
      <c r="I245" s="23"/>
      <c r="J245" s="23"/>
      <c r="K245" s="23"/>
      <c r="L245" s="23"/>
    </row>
    <row r="246" spans="9:12" x14ac:dyDescent="0.25">
      <c r="I246" s="23"/>
      <c r="J246" s="23"/>
      <c r="K246" s="23"/>
      <c r="L246" s="23"/>
    </row>
    <row r="247" spans="9:12" x14ac:dyDescent="0.25">
      <c r="I247" s="23"/>
      <c r="J247" s="23"/>
      <c r="K247" s="23"/>
      <c r="L247" s="23"/>
    </row>
    <row r="248" spans="9:12" x14ac:dyDescent="0.25">
      <c r="I248" s="23"/>
      <c r="J248" s="23"/>
      <c r="K248" s="23"/>
      <c r="L248" s="23"/>
    </row>
    <row r="249" spans="9:12" x14ac:dyDescent="0.25">
      <c r="I249" s="23"/>
      <c r="J249" s="23"/>
      <c r="K249" s="23"/>
      <c r="L249" s="23"/>
    </row>
    <row r="250" spans="9:12" x14ac:dyDescent="0.25">
      <c r="I250" s="23"/>
      <c r="J250" s="23"/>
      <c r="K250" s="23"/>
      <c r="L250" s="23"/>
    </row>
    <row r="251" spans="9:12" x14ac:dyDescent="0.25">
      <c r="I251" s="23"/>
      <c r="J251" s="23"/>
      <c r="K251" s="23"/>
      <c r="L251" s="23"/>
    </row>
    <row r="252" spans="9:12" x14ac:dyDescent="0.25">
      <c r="I252" s="23"/>
      <c r="J252" s="23"/>
      <c r="K252" s="23"/>
      <c r="L252" s="23"/>
    </row>
    <row r="253" spans="9:12" x14ac:dyDescent="0.25">
      <c r="I253" s="23"/>
      <c r="J253" s="23"/>
      <c r="K253" s="23"/>
      <c r="L253" s="23"/>
    </row>
    <row r="254" spans="9:12" x14ac:dyDescent="0.25">
      <c r="I254" s="23"/>
      <c r="J254" s="23"/>
      <c r="K254" s="23"/>
      <c r="L254" s="23"/>
    </row>
    <row r="255" spans="9:12" x14ac:dyDescent="0.25">
      <c r="I255" s="23"/>
      <c r="J255" s="23"/>
      <c r="K255" s="23"/>
      <c r="L255" s="23"/>
    </row>
    <row r="256" spans="9:12" x14ac:dyDescent="0.25">
      <c r="I256" s="23"/>
      <c r="J256" s="23"/>
      <c r="K256" s="23"/>
      <c r="L256" s="23"/>
    </row>
  </sheetData>
  <mergeCells count="4">
    <mergeCell ref="A5:H5"/>
    <mergeCell ref="A6:H6"/>
    <mergeCell ref="A7:H7"/>
    <mergeCell ref="A9:E9"/>
  </mergeCells>
  <pageMargins left="1.299212598425197" right="0.70866141732283472" top="0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9"/>
  <sheetViews>
    <sheetView topLeftCell="A145" workbookViewId="0">
      <selection activeCell="L164" sqref="L164"/>
    </sheetView>
  </sheetViews>
  <sheetFormatPr baseColWidth="10" defaultColWidth="11.42578125" defaultRowHeight="15" x14ac:dyDescent="0.2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4" style="27" customWidth="1"/>
    <col min="9" max="9" width="23.42578125" hidden="1" customWidth="1"/>
    <col min="10" max="10" width="15.5703125" customWidth="1"/>
    <col min="11" max="11" width="15.85546875" customWidth="1"/>
    <col min="12" max="12" width="19.140625" customWidth="1"/>
    <col min="13" max="13" width="15.28515625" customWidth="1"/>
    <col min="217" max="217" width="4.85546875" bestFit="1" customWidth="1"/>
    <col min="218" max="218" width="5.85546875" bestFit="1" customWidth="1"/>
    <col min="219" max="219" width="7.42578125" bestFit="1" customWidth="1"/>
    <col min="220" max="220" width="8.140625" bestFit="1" customWidth="1"/>
    <col min="221" max="221" width="4.5703125" bestFit="1" customWidth="1"/>
    <col min="222" max="222" width="57.5703125" customWidth="1"/>
    <col min="223" max="223" width="14.28515625" customWidth="1"/>
    <col min="224" max="224" width="0.85546875" customWidth="1"/>
    <col min="225" max="225" width="16.5703125" bestFit="1" customWidth="1"/>
    <col min="226" max="226" width="13.42578125" bestFit="1" customWidth="1"/>
    <col min="473" max="473" width="4.85546875" bestFit="1" customWidth="1"/>
    <col min="474" max="474" width="5.85546875" bestFit="1" customWidth="1"/>
    <col min="475" max="475" width="7.42578125" bestFit="1" customWidth="1"/>
    <col min="476" max="476" width="8.140625" bestFit="1" customWidth="1"/>
    <col min="477" max="477" width="4.5703125" bestFit="1" customWidth="1"/>
    <col min="478" max="478" width="57.5703125" customWidth="1"/>
    <col min="479" max="479" width="14.28515625" customWidth="1"/>
    <col min="480" max="480" width="0.85546875" customWidth="1"/>
    <col min="481" max="481" width="16.5703125" bestFit="1" customWidth="1"/>
    <col min="482" max="482" width="13.42578125" bestFit="1" customWidth="1"/>
    <col min="729" max="729" width="4.85546875" bestFit="1" customWidth="1"/>
    <col min="730" max="730" width="5.85546875" bestFit="1" customWidth="1"/>
    <col min="731" max="731" width="7.42578125" bestFit="1" customWidth="1"/>
    <col min="732" max="732" width="8.140625" bestFit="1" customWidth="1"/>
    <col min="733" max="733" width="4.5703125" bestFit="1" customWidth="1"/>
    <col min="734" max="734" width="57.5703125" customWidth="1"/>
    <col min="735" max="735" width="14.28515625" customWidth="1"/>
    <col min="736" max="736" width="0.85546875" customWidth="1"/>
    <col min="737" max="737" width="16.5703125" bestFit="1" customWidth="1"/>
    <col min="738" max="738" width="13.42578125" bestFit="1" customWidth="1"/>
    <col min="985" max="985" width="4.85546875" bestFit="1" customWidth="1"/>
    <col min="986" max="986" width="5.85546875" bestFit="1" customWidth="1"/>
    <col min="987" max="987" width="7.42578125" bestFit="1" customWidth="1"/>
    <col min="988" max="988" width="8.140625" bestFit="1" customWidth="1"/>
    <col min="989" max="989" width="4.5703125" bestFit="1" customWidth="1"/>
    <col min="990" max="990" width="57.5703125" customWidth="1"/>
    <col min="991" max="991" width="14.28515625" customWidth="1"/>
    <col min="992" max="992" width="0.85546875" customWidth="1"/>
    <col min="993" max="993" width="16.5703125" bestFit="1" customWidth="1"/>
    <col min="994" max="994" width="13.42578125" bestFit="1" customWidth="1"/>
    <col min="1241" max="1241" width="4.85546875" bestFit="1" customWidth="1"/>
    <col min="1242" max="1242" width="5.85546875" bestFit="1" customWidth="1"/>
    <col min="1243" max="1243" width="7.42578125" bestFit="1" customWidth="1"/>
    <col min="1244" max="1244" width="8.140625" bestFit="1" customWidth="1"/>
    <col min="1245" max="1245" width="4.5703125" bestFit="1" customWidth="1"/>
    <col min="1246" max="1246" width="57.5703125" customWidth="1"/>
    <col min="1247" max="1247" width="14.28515625" customWidth="1"/>
    <col min="1248" max="1248" width="0.85546875" customWidth="1"/>
    <col min="1249" max="1249" width="16.5703125" bestFit="1" customWidth="1"/>
    <col min="1250" max="1250" width="13.42578125" bestFit="1" customWidth="1"/>
    <col min="1497" max="1497" width="4.85546875" bestFit="1" customWidth="1"/>
    <col min="1498" max="1498" width="5.85546875" bestFit="1" customWidth="1"/>
    <col min="1499" max="1499" width="7.42578125" bestFit="1" customWidth="1"/>
    <col min="1500" max="1500" width="8.140625" bestFit="1" customWidth="1"/>
    <col min="1501" max="1501" width="4.5703125" bestFit="1" customWidth="1"/>
    <col min="1502" max="1502" width="57.5703125" customWidth="1"/>
    <col min="1503" max="1503" width="14.28515625" customWidth="1"/>
    <col min="1504" max="1504" width="0.85546875" customWidth="1"/>
    <col min="1505" max="1505" width="16.5703125" bestFit="1" customWidth="1"/>
    <col min="1506" max="1506" width="13.42578125" bestFit="1" customWidth="1"/>
    <col min="1753" max="1753" width="4.85546875" bestFit="1" customWidth="1"/>
    <col min="1754" max="1754" width="5.85546875" bestFit="1" customWidth="1"/>
    <col min="1755" max="1755" width="7.42578125" bestFit="1" customWidth="1"/>
    <col min="1756" max="1756" width="8.140625" bestFit="1" customWidth="1"/>
    <col min="1757" max="1757" width="4.5703125" bestFit="1" customWidth="1"/>
    <col min="1758" max="1758" width="57.5703125" customWidth="1"/>
    <col min="1759" max="1759" width="14.28515625" customWidth="1"/>
    <col min="1760" max="1760" width="0.85546875" customWidth="1"/>
    <col min="1761" max="1761" width="16.5703125" bestFit="1" customWidth="1"/>
    <col min="1762" max="1762" width="13.42578125" bestFit="1" customWidth="1"/>
    <col min="2009" max="2009" width="4.85546875" bestFit="1" customWidth="1"/>
    <col min="2010" max="2010" width="5.85546875" bestFit="1" customWidth="1"/>
    <col min="2011" max="2011" width="7.42578125" bestFit="1" customWidth="1"/>
    <col min="2012" max="2012" width="8.140625" bestFit="1" customWidth="1"/>
    <col min="2013" max="2013" width="4.5703125" bestFit="1" customWidth="1"/>
    <col min="2014" max="2014" width="57.5703125" customWidth="1"/>
    <col min="2015" max="2015" width="14.28515625" customWidth="1"/>
    <col min="2016" max="2016" width="0.85546875" customWidth="1"/>
    <col min="2017" max="2017" width="16.5703125" bestFit="1" customWidth="1"/>
    <col min="2018" max="2018" width="13.42578125" bestFit="1" customWidth="1"/>
    <col min="2265" max="2265" width="4.85546875" bestFit="1" customWidth="1"/>
    <col min="2266" max="2266" width="5.85546875" bestFit="1" customWidth="1"/>
    <col min="2267" max="2267" width="7.42578125" bestFit="1" customWidth="1"/>
    <col min="2268" max="2268" width="8.140625" bestFit="1" customWidth="1"/>
    <col min="2269" max="2269" width="4.5703125" bestFit="1" customWidth="1"/>
    <col min="2270" max="2270" width="57.5703125" customWidth="1"/>
    <col min="2271" max="2271" width="14.28515625" customWidth="1"/>
    <col min="2272" max="2272" width="0.85546875" customWidth="1"/>
    <col min="2273" max="2273" width="16.5703125" bestFit="1" customWidth="1"/>
    <col min="2274" max="2274" width="13.42578125" bestFit="1" customWidth="1"/>
    <col min="2521" max="2521" width="4.85546875" bestFit="1" customWidth="1"/>
    <col min="2522" max="2522" width="5.85546875" bestFit="1" customWidth="1"/>
    <col min="2523" max="2523" width="7.42578125" bestFit="1" customWidth="1"/>
    <col min="2524" max="2524" width="8.140625" bestFit="1" customWidth="1"/>
    <col min="2525" max="2525" width="4.5703125" bestFit="1" customWidth="1"/>
    <col min="2526" max="2526" width="57.5703125" customWidth="1"/>
    <col min="2527" max="2527" width="14.28515625" customWidth="1"/>
    <col min="2528" max="2528" width="0.85546875" customWidth="1"/>
    <col min="2529" max="2529" width="16.5703125" bestFit="1" customWidth="1"/>
    <col min="2530" max="2530" width="13.42578125" bestFit="1" customWidth="1"/>
    <col min="2777" max="2777" width="4.85546875" bestFit="1" customWidth="1"/>
    <col min="2778" max="2778" width="5.85546875" bestFit="1" customWidth="1"/>
    <col min="2779" max="2779" width="7.42578125" bestFit="1" customWidth="1"/>
    <col min="2780" max="2780" width="8.140625" bestFit="1" customWidth="1"/>
    <col min="2781" max="2781" width="4.5703125" bestFit="1" customWidth="1"/>
    <col min="2782" max="2782" width="57.5703125" customWidth="1"/>
    <col min="2783" max="2783" width="14.28515625" customWidth="1"/>
    <col min="2784" max="2784" width="0.85546875" customWidth="1"/>
    <col min="2785" max="2785" width="16.5703125" bestFit="1" customWidth="1"/>
    <col min="2786" max="2786" width="13.42578125" bestFit="1" customWidth="1"/>
    <col min="3033" max="3033" width="4.85546875" bestFit="1" customWidth="1"/>
    <col min="3034" max="3034" width="5.85546875" bestFit="1" customWidth="1"/>
    <col min="3035" max="3035" width="7.42578125" bestFit="1" customWidth="1"/>
    <col min="3036" max="3036" width="8.140625" bestFit="1" customWidth="1"/>
    <col min="3037" max="3037" width="4.5703125" bestFit="1" customWidth="1"/>
    <col min="3038" max="3038" width="57.5703125" customWidth="1"/>
    <col min="3039" max="3039" width="14.28515625" customWidth="1"/>
    <col min="3040" max="3040" width="0.85546875" customWidth="1"/>
    <col min="3041" max="3041" width="16.5703125" bestFit="1" customWidth="1"/>
    <col min="3042" max="3042" width="13.42578125" bestFit="1" customWidth="1"/>
    <col min="3289" max="3289" width="4.85546875" bestFit="1" customWidth="1"/>
    <col min="3290" max="3290" width="5.85546875" bestFit="1" customWidth="1"/>
    <col min="3291" max="3291" width="7.42578125" bestFit="1" customWidth="1"/>
    <col min="3292" max="3292" width="8.140625" bestFit="1" customWidth="1"/>
    <col min="3293" max="3293" width="4.5703125" bestFit="1" customWidth="1"/>
    <col min="3294" max="3294" width="57.5703125" customWidth="1"/>
    <col min="3295" max="3295" width="14.28515625" customWidth="1"/>
    <col min="3296" max="3296" width="0.85546875" customWidth="1"/>
    <col min="3297" max="3297" width="16.5703125" bestFit="1" customWidth="1"/>
    <col min="3298" max="3298" width="13.42578125" bestFit="1" customWidth="1"/>
    <col min="3545" max="3545" width="4.85546875" bestFit="1" customWidth="1"/>
    <col min="3546" max="3546" width="5.85546875" bestFit="1" customWidth="1"/>
    <col min="3547" max="3547" width="7.42578125" bestFit="1" customWidth="1"/>
    <col min="3548" max="3548" width="8.140625" bestFit="1" customWidth="1"/>
    <col min="3549" max="3549" width="4.5703125" bestFit="1" customWidth="1"/>
    <col min="3550" max="3550" width="57.5703125" customWidth="1"/>
    <col min="3551" max="3551" width="14.28515625" customWidth="1"/>
    <col min="3552" max="3552" width="0.85546875" customWidth="1"/>
    <col min="3553" max="3553" width="16.5703125" bestFit="1" customWidth="1"/>
    <col min="3554" max="3554" width="13.42578125" bestFit="1" customWidth="1"/>
    <col min="3801" max="3801" width="4.85546875" bestFit="1" customWidth="1"/>
    <col min="3802" max="3802" width="5.85546875" bestFit="1" customWidth="1"/>
    <col min="3803" max="3803" width="7.42578125" bestFit="1" customWidth="1"/>
    <col min="3804" max="3804" width="8.140625" bestFit="1" customWidth="1"/>
    <col min="3805" max="3805" width="4.5703125" bestFit="1" customWidth="1"/>
    <col min="3806" max="3806" width="57.5703125" customWidth="1"/>
    <col min="3807" max="3807" width="14.28515625" customWidth="1"/>
    <col min="3808" max="3808" width="0.85546875" customWidth="1"/>
    <col min="3809" max="3809" width="16.5703125" bestFit="1" customWidth="1"/>
    <col min="3810" max="3810" width="13.42578125" bestFit="1" customWidth="1"/>
    <col min="4057" max="4057" width="4.85546875" bestFit="1" customWidth="1"/>
    <col min="4058" max="4058" width="5.85546875" bestFit="1" customWidth="1"/>
    <col min="4059" max="4059" width="7.42578125" bestFit="1" customWidth="1"/>
    <col min="4060" max="4060" width="8.140625" bestFit="1" customWidth="1"/>
    <col min="4061" max="4061" width="4.5703125" bestFit="1" customWidth="1"/>
    <col min="4062" max="4062" width="57.5703125" customWidth="1"/>
    <col min="4063" max="4063" width="14.28515625" customWidth="1"/>
    <col min="4064" max="4064" width="0.85546875" customWidth="1"/>
    <col min="4065" max="4065" width="16.5703125" bestFit="1" customWidth="1"/>
    <col min="4066" max="4066" width="13.42578125" bestFit="1" customWidth="1"/>
    <col min="4313" max="4313" width="4.85546875" bestFit="1" customWidth="1"/>
    <col min="4314" max="4314" width="5.85546875" bestFit="1" customWidth="1"/>
    <col min="4315" max="4315" width="7.42578125" bestFit="1" customWidth="1"/>
    <col min="4316" max="4316" width="8.140625" bestFit="1" customWidth="1"/>
    <col min="4317" max="4317" width="4.5703125" bestFit="1" customWidth="1"/>
    <col min="4318" max="4318" width="57.5703125" customWidth="1"/>
    <col min="4319" max="4319" width="14.28515625" customWidth="1"/>
    <col min="4320" max="4320" width="0.85546875" customWidth="1"/>
    <col min="4321" max="4321" width="16.5703125" bestFit="1" customWidth="1"/>
    <col min="4322" max="4322" width="13.42578125" bestFit="1" customWidth="1"/>
    <col min="4569" max="4569" width="4.85546875" bestFit="1" customWidth="1"/>
    <col min="4570" max="4570" width="5.85546875" bestFit="1" customWidth="1"/>
    <col min="4571" max="4571" width="7.42578125" bestFit="1" customWidth="1"/>
    <col min="4572" max="4572" width="8.140625" bestFit="1" customWidth="1"/>
    <col min="4573" max="4573" width="4.5703125" bestFit="1" customWidth="1"/>
    <col min="4574" max="4574" width="57.5703125" customWidth="1"/>
    <col min="4575" max="4575" width="14.28515625" customWidth="1"/>
    <col min="4576" max="4576" width="0.85546875" customWidth="1"/>
    <col min="4577" max="4577" width="16.5703125" bestFit="1" customWidth="1"/>
    <col min="4578" max="4578" width="13.42578125" bestFit="1" customWidth="1"/>
    <col min="4825" max="4825" width="4.85546875" bestFit="1" customWidth="1"/>
    <col min="4826" max="4826" width="5.85546875" bestFit="1" customWidth="1"/>
    <col min="4827" max="4827" width="7.42578125" bestFit="1" customWidth="1"/>
    <col min="4828" max="4828" width="8.140625" bestFit="1" customWidth="1"/>
    <col min="4829" max="4829" width="4.5703125" bestFit="1" customWidth="1"/>
    <col min="4830" max="4830" width="57.5703125" customWidth="1"/>
    <col min="4831" max="4831" width="14.28515625" customWidth="1"/>
    <col min="4832" max="4832" width="0.85546875" customWidth="1"/>
    <col min="4833" max="4833" width="16.5703125" bestFit="1" customWidth="1"/>
    <col min="4834" max="4834" width="13.42578125" bestFit="1" customWidth="1"/>
    <col min="5081" max="5081" width="4.85546875" bestFit="1" customWidth="1"/>
    <col min="5082" max="5082" width="5.85546875" bestFit="1" customWidth="1"/>
    <col min="5083" max="5083" width="7.42578125" bestFit="1" customWidth="1"/>
    <col min="5084" max="5084" width="8.140625" bestFit="1" customWidth="1"/>
    <col min="5085" max="5085" width="4.5703125" bestFit="1" customWidth="1"/>
    <col min="5086" max="5086" width="57.5703125" customWidth="1"/>
    <col min="5087" max="5087" width="14.28515625" customWidth="1"/>
    <col min="5088" max="5088" width="0.85546875" customWidth="1"/>
    <col min="5089" max="5089" width="16.5703125" bestFit="1" customWidth="1"/>
    <col min="5090" max="5090" width="13.42578125" bestFit="1" customWidth="1"/>
    <col min="5337" max="5337" width="4.85546875" bestFit="1" customWidth="1"/>
    <col min="5338" max="5338" width="5.85546875" bestFit="1" customWidth="1"/>
    <col min="5339" max="5339" width="7.42578125" bestFit="1" customWidth="1"/>
    <col min="5340" max="5340" width="8.140625" bestFit="1" customWidth="1"/>
    <col min="5341" max="5341" width="4.5703125" bestFit="1" customWidth="1"/>
    <col min="5342" max="5342" width="57.5703125" customWidth="1"/>
    <col min="5343" max="5343" width="14.28515625" customWidth="1"/>
    <col min="5344" max="5344" width="0.85546875" customWidth="1"/>
    <col min="5345" max="5345" width="16.5703125" bestFit="1" customWidth="1"/>
    <col min="5346" max="5346" width="13.42578125" bestFit="1" customWidth="1"/>
    <col min="5593" max="5593" width="4.85546875" bestFit="1" customWidth="1"/>
    <col min="5594" max="5594" width="5.85546875" bestFit="1" customWidth="1"/>
    <col min="5595" max="5595" width="7.42578125" bestFit="1" customWidth="1"/>
    <col min="5596" max="5596" width="8.140625" bestFit="1" customWidth="1"/>
    <col min="5597" max="5597" width="4.5703125" bestFit="1" customWidth="1"/>
    <col min="5598" max="5598" width="57.5703125" customWidth="1"/>
    <col min="5599" max="5599" width="14.28515625" customWidth="1"/>
    <col min="5600" max="5600" width="0.85546875" customWidth="1"/>
    <col min="5601" max="5601" width="16.5703125" bestFit="1" customWidth="1"/>
    <col min="5602" max="5602" width="13.42578125" bestFit="1" customWidth="1"/>
    <col min="5849" max="5849" width="4.85546875" bestFit="1" customWidth="1"/>
    <col min="5850" max="5850" width="5.85546875" bestFit="1" customWidth="1"/>
    <col min="5851" max="5851" width="7.42578125" bestFit="1" customWidth="1"/>
    <col min="5852" max="5852" width="8.140625" bestFit="1" customWidth="1"/>
    <col min="5853" max="5853" width="4.5703125" bestFit="1" customWidth="1"/>
    <col min="5854" max="5854" width="57.5703125" customWidth="1"/>
    <col min="5855" max="5855" width="14.28515625" customWidth="1"/>
    <col min="5856" max="5856" width="0.85546875" customWidth="1"/>
    <col min="5857" max="5857" width="16.5703125" bestFit="1" customWidth="1"/>
    <col min="5858" max="5858" width="13.42578125" bestFit="1" customWidth="1"/>
    <col min="6105" max="6105" width="4.85546875" bestFit="1" customWidth="1"/>
    <col min="6106" max="6106" width="5.85546875" bestFit="1" customWidth="1"/>
    <col min="6107" max="6107" width="7.42578125" bestFit="1" customWidth="1"/>
    <col min="6108" max="6108" width="8.140625" bestFit="1" customWidth="1"/>
    <col min="6109" max="6109" width="4.5703125" bestFit="1" customWidth="1"/>
    <col min="6110" max="6110" width="57.5703125" customWidth="1"/>
    <col min="6111" max="6111" width="14.28515625" customWidth="1"/>
    <col min="6112" max="6112" width="0.85546875" customWidth="1"/>
    <col min="6113" max="6113" width="16.5703125" bestFit="1" customWidth="1"/>
    <col min="6114" max="6114" width="13.42578125" bestFit="1" customWidth="1"/>
    <col min="6361" max="6361" width="4.85546875" bestFit="1" customWidth="1"/>
    <col min="6362" max="6362" width="5.85546875" bestFit="1" customWidth="1"/>
    <col min="6363" max="6363" width="7.42578125" bestFit="1" customWidth="1"/>
    <col min="6364" max="6364" width="8.140625" bestFit="1" customWidth="1"/>
    <col min="6365" max="6365" width="4.5703125" bestFit="1" customWidth="1"/>
    <col min="6366" max="6366" width="57.5703125" customWidth="1"/>
    <col min="6367" max="6367" width="14.28515625" customWidth="1"/>
    <col min="6368" max="6368" width="0.85546875" customWidth="1"/>
    <col min="6369" max="6369" width="16.5703125" bestFit="1" customWidth="1"/>
    <col min="6370" max="6370" width="13.42578125" bestFit="1" customWidth="1"/>
    <col min="6617" max="6617" width="4.85546875" bestFit="1" customWidth="1"/>
    <col min="6618" max="6618" width="5.85546875" bestFit="1" customWidth="1"/>
    <col min="6619" max="6619" width="7.42578125" bestFit="1" customWidth="1"/>
    <col min="6620" max="6620" width="8.140625" bestFit="1" customWidth="1"/>
    <col min="6621" max="6621" width="4.5703125" bestFit="1" customWidth="1"/>
    <col min="6622" max="6622" width="57.5703125" customWidth="1"/>
    <col min="6623" max="6623" width="14.28515625" customWidth="1"/>
    <col min="6624" max="6624" width="0.85546875" customWidth="1"/>
    <col min="6625" max="6625" width="16.5703125" bestFit="1" customWidth="1"/>
    <col min="6626" max="6626" width="13.42578125" bestFit="1" customWidth="1"/>
    <col min="6873" max="6873" width="4.85546875" bestFit="1" customWidth="1"/>
    <col min="6874" max="6874" width="5.85546875" bestFit="1" customWidth="1"/>
    <col min="6875" max="6875" width="7.42578125" bestFit="1" customWidth="1"/>
    <col min="6876" max="6876" width="8.140625" bestFit="1" customWidth="1"/>
    <col min="6877" max="6877" width="4.5703125" bestFit="1" customWidth="1"/>
    <col min="6878" max="6878" width="57.5703125" customWidth="1"/>
    <col min="6879" max="6879" width="14.28515625" customWidth="1"/>
    <col min="6880" max="6880" width="0.85546875" customWidth="1"/>
    <col min="6881" max="6881" width="16.5703125" bestFit="1" customWidth="1"/>
    <col min="6882" max="6882" width="13.42578125" bestFit="1" customWidth="1"/>
    <col min="7129" max="7129" width="4.85546875" bestFit="1" customWidth="1"/>
    <col min="7130" max="7130" width="5.85546875" bestFit="1" customWidth="1"/>
    <col min="7131" max="7131" width="7.42578125" bestFit="1" customWidth="1"/>
    <col min="7132" max="7132" width="8.140625" bestFit="1" customWidth="1"/>
    <col min="7133" max="7133" width="4.5703125" bestFit="1" customWidth="1"/>
    <col min="7134" max="7134" width="57.5703125" customWidth="1"/>
    <col min="7135" max="7135" width="14.28515625" customWidth="1"/>
    <col min="7136" max="7136" width="0.85546875" customWidth="1"/>
    <col min="7137" max="7137" width="16.5703125" bestFit="1" customWidth="1"/>
    <col min="7138" max="7138" width="13.42578125" bestFit="1" customWidth="1"/>
    <col min="7385" max="7385" width="4.85546875" bestFit="1" customWidth="1"/>
    <col min="7386" max="7386" width="5.85546875" bestFit="1" customWidth="1"/>
    <col min="7387" max="7387" width="7.42578125" bestFit="1" customWidth="1"/>
    <col min="7388" max="7388" width="8.140625" bestFit="1" customWidth="1"/>
    <col min="7389" max="7389" width="4.5703125" bestFit="1" customWidth="1"/>
    <col min="7390" max="7390" width="57.5703125" customWidth="1"/>
    <col min="7391" max="7391" width="14.28515625" customWidth="1"/>
    <col min="7392" max="7392" width="0.85546875" customWidth="1"/>
    <col min="7393" max="7393" width="16.5703125" bestFit="1" customWidth="1"/>
    <col min="7394" max="7394" width="13.42578125" bestFit="1" customWidth="1"/>
    <col min="7641" max="7641" width="4.85546875" bestFit="1" customWidth="1"/>
    <col min="7642" max="7642" width="5.85546875" bestFit="1" customWidth="1"/>
    <col min="7643" max="7643" width="7.42578125" bestFit="1" customWidth="1"/>
    <col min="7644" max="7644" width="8.140625" bestFit="1" customWidth="1"/>
    <col min="7645" max="7645" width="4.5703125" bestFit="1" customWidth="1"/>
    <col min="7646" max="7646" width="57.5703125" customWidth="1"/>
    <col min="7647" max="7647" width="14.28515625" customWidth="1"/>
    <col min="7648" max="7648" width="0.85546875" customWidth="1"/>
    <col min="7649" max="7649" width="16.5703125" bestFit="1" customWidth="1"/>
    <col min="7650" max="7650" width="13.42578125" bestFit="1" customWidth="1"/>
    <col min="7897" max="7897" width="4.85546875" bestFit="1" customWidth="1"/>
    <col min="7898" max="7898" width="5.85546875" bestFit="1" customWidth="1"/>
    <col min="7899" max="7899" width="7.42578125" bestFit="1" customWidth="1"/>
    <col min="7900" max="7900" width="8.140625" bestFit="1" customWidth="1"/>
    <col min="7901" max="7901" width="4.5703125" bestFit="1" customWidth="1"/>
    <col min="7902" max="7902" width="57.5703125" customWidth="1"/>
    <col min="7903" max="7903" width="14.28515625" customWidth="1"/>
    <col min="7904" max="7904" width="0.85546875" customWidth="1"/>
    <col min="7905" max="7905" width="16.5703125" bestFit="1" customWidth="1"/>
    <col min="7906" max="7906" width="13.42578125" bestFit="1" customWidth="1"/>
    <col min="8153" max="8153" width="4.85546875" bestFit="1" customWidth="1"/>
    <col min="8154" max="8154" width="5.85546875" bestFit="1" customWidth="1"/>
    <col min="8155" max="8155" width="7.42578125" bestFit="1" customWidth="1"/>
    <col min="8156" max="8156" width="8.140625" bestFit="1" customWidth="1"/>
    <col min="8157" max="8157" width="4.5703125" bestFit="1" customWidth="1"/>
    <col min="8158" max="8158" width="57.5703125" customWidth="1"/>
    <col min="8159" max="8159" width="14.28515625" customWidth="1"/>
    <col min="8160" max="8160" width="0.85546875" customWidth="1"/>
    <col min="8161" max="8161" width="16.5703125" bestFit="1" customWidth="1"/>
    <col min="8162" max="8162" width="13.42578125" bestFit="1" customWidth="1"/>
    <col min="8409" max="8409" width="4.85546875" bestFit="1" customWidth="1"/>
    <col min="8410" max="8410" width="5.85546875" bestFit="1" customWidth="1"/>
    <col min="8411" max="8411" width="7.42578125" bestFit="1" customWidth="1"/>
    <col min="8412" max="8412" width="8.140625" bestFit="1" customWidth="1"/>
    <col min="8413" max="8413" width="4.5703125" bestFit="1" customWidth="1"/>
    <col min="8414" max="8414" width="57.5703125" customWidth="1"/>
    <col min="8415" max="8415" width="14.28515625" customWidth="1"/>
    <col min="8416" max="8416" width="0.85546875" customWidth="1"/>
    <col min="8417" max="8417" width="16.5703125" bestFit="1" customWidth="1"/>
    <col min="8418" max="8418" width="13.42578125" bestFit="1" customWidth="1"/>
    <col min="8665" max="8665" width="4.85546875" bestFit="1" customWidth="1"/>
    <col min="8666" max="8666" width="5.85546875" bestFit="1" customWidth="1"/>
    <col min="8667" max="8667" width="7.42578125" bestFit="1" customWidth="1"/>
    <col min="8668" max="8668" width="8.140625" bestFit="1" customWidth="1"/>
    <col min="8669" max="8669" width="4.5703125" bestFit="1" customWidth="1"/>
    <col min="8670" max="8670" width="57.5703125" customWidth="1"/>
    <col min="8671" max="8671" width="14.28515625" customWidth="1"/>
    <col min="8672" max="8672" width="0.85546875" customWidth="1"/>
    <col min="8673" max="8673" width="16.5703125" bestFit="1" customWidth="1"/>
    <col min="8674" max="8674" width="13.42578125" bestFit="1" customWidth="1"/>
    <col min="8921" max="8921" width="4.85546875" bestFit="1" customWidth="1"/>
    <col min="8922" max="8922" width="5.85546875" bestFit="1" customWidth="1"/>
    <col min="8923" max="8923" width="7.42578125" bestFit="1" customWidth="1"/>
    <col min="8924" max="8924" width="8.140625" bestFit="1" customWidth="1"/>
    <col min="8925" max="8925" width="4.5703125" bestFit="1" customWidth="1"/>
    <col min="8926" max="8926" width="57.5703125" customWidth="1"/>
    <col min="8927" max="8927" width="14.28515625" customWidth="1"/>
    <col min="8928" max="8928" width="0.85546875" customWidth="1"/>
    <col min="8929" max="8929" width="16.5703125" bestFit="1" customWidth="1"/>
    <col min="8930" max="8930" width="13.42578125" bestFit="1" customWidth="1"/>
    <col min="9177" max="9177" width="4.85546875" bestFit="1" customWidth="1"/>
    <col min="9178" max="9178" width="5.85546875" bestFit="1" customWidth="1"/>
    <col min="9179" max="9179" width="7.42578125" bestFit="1" customWidth="1"/>
    <col min="9180" max="9180" width="8.140625" bestFit="1" customWidth="1"/>
    <col min="9181" max="9181" width="4.5703125" bestFit="1" customWidth="1"/>
    <col min="9182" max="9182" width="57.5703125" customWidth="1"/>
    <col min="9183" max="9183" width="14.28515625" customWidth="1"/>
    <col min="9184" max="9184" width="0.85546875" customWidth="1"/>
    <col min="9185" max="9185" width="16.5703125" bestFit="1" customWidth="1"/>
    <col min="9186" max="9186" width="13.42578125" bestFit="1" customWidth="1"/>
    <col min="9433" max="9433" width="4.85546875" bestFit="1" customWidth="1"/>
    <col min="9434" max="9434" width="5.85546875" bestFit="1" customWidth="1"/>
    <col min="9435" max="9435" width="7.42578125" bestFit="1" customWidth="1"/>
    <col min="9436" max="9436" width="8.140625" bestFit="1" customWidth="1"/>
    <col min="9437" max="9437" width="4.5703125" bestFit="1" customWidth="1"/>
    <col min="9438" max="9438" width="57.5703125" customWidth="1"/>
    <col min="9439" max="9439" width="14.28515625" customWidth="1"/>
    <col min="9440" max="9440" width="0.85546875" customWidth="1"/>
    <col min="9441" max="9441" width="16.5703125" bestFit="1" customWidth="1"/>
    <col min="9442" max="9442" width="13.42578125" bestFit="1" customWidth="1"/>
    <col min="9689" max="9689" width="4.85546875" bestFit="1" customWidth="1"/>
    <col min="9690" max="9690" width="5.85546875" bestFit="1" customWidth="1"/>
    <col min="9691" max="9691" width="7.42578125" bestFit="1" customWidth="1"/>
    <col min="9692" max="9692" width="8.140625" bestFit="1" customWidth="1"/>
    <col min="9693" max="9693" width="4.5703125" bestFit="1" customWidth="1"/>
    <col min="9694" max="9694" width="57.5703125" customWidth="1"/>
    <col min="9695" max="9695" width="14.28515625" customWidth="1"/>
    <col min="9696" max="9696" width="0.85546875" customWidth="1"/>
    <col min="9697" max="9697" width="16.5703125" bestFit="1" customWidth="1"/>
    <col min="9698" max="9698" width="13.42578125" bestFit="1" customWidth="1"/>
    <col min="9945" max="9945" width="4.85546875" bestFit="1" customWidth="1"/>
    <col min="9946" max="9946" width="5.85546875" bestFit="1" customWidth="1"/>
    <col min="9947" max="9947" width="7.42578125" bestFit="1" customWidth="1"/>
    <col min="9948" max="9948" width="8.140625" bestFit="1" customWidth="1"/>
    <col min="9949" max="9949" width="4.5703125" bestFit="1" customWidth="1"/>
    <col min="9950" max="9950" width="57.5703125" customWidth="1"/>
    <col min="9951" max="9951" width="14.28515625" customWidth="1"/>
    <col min="9952" max="9952" width="0.85546875" customWidth="1"/>
    <col min="9953" max="9953" width="16.5703125" bestFit="1" customWidth="1"/>
    <col min="9954" max="9954" width="13.42578125" bestFit="1" customWidth="1"/>
    <col min="10201" max="10201" width="4.85546875" bestFit="1" customWidth="1"/>
    <col min="10202" max="10202" width="5.85546875" bestFit="1" customWidth="1"/>
    <col min="10203" max="10203" width="7.42578125" bestFit="1" customWidth="1"/>
    <col min="10204" max="10204" width="8.140625" bestFit="1" customWidth="1"/>
    <col min="10205" max="10205" width="4.5703125" bestFit="1" customWidth="1"/>
    <col min="10206" max="10206" width="57.5703125" customWidth="1"/>
    <col min="10207" max="10207" width="14.28515625" customWidth="1"/>
    <col min="10208" max="10208" width="0.85546875" customWidth="1"/>
    <col min="10209" max="10209" width="16.5703125" bestFit="1" customWidth="1"/>
    <col min="10210" max="10210" width="13.42578125" bestFit="1" customWidth="1"/>
    <col min="10457" max="10457" width="4.85546875" bestFit="1" customWidth="1"/>
    <col min="10458" max="10458" width="5.85546875" bestFit="1" customWidth="1"/>
    <col min="10459" max="10459" width="7.42578125" bestFit="1" customWidth="1"/>
    <col min="10460" max="10460" width="8.140625" bestFit="1" customWidth="1"/>
    <col min="10461" max="10461" width="4.5703125" bestFit="1" customWidth="1"/>
    <col min="10462" max="10462" width="57.5703125" customWidth="1"/>
    <col min="10463" max="10463" width="14.28515625" customWidth="1"/>
    <col min="10464" max="10464" width="0.85546875" customWidth="1"/>
    <col min="10465" max="10465" width="16.5703125" bestFit="1" customWidth="1"/>
    <col min="10466" max="10466" width="13.42578125" bestFit="1" customWidth="1"/>
    <col min="10713" max="10713" width="4.85546875" bestFit="1" customWidth="1"/>
    <col min="10714" max="10714" width="5.85546875" bestFit="1" customWidth="1"/>
    <col min="10715" max="10715" width="7.42578125" bestFit="1" customWidth="1"/>
    <col min="10716" max="10716" width="8.140625" bestFit="1" customWidth="1"/>
    <col min="10717" max="10717" width="4.5703125" bestFit="1" customWidth="1"/>
    <col min="10718" max="10718" width="57.5703125" customWidth="1"/>
    <col min="10719" max="10719" width="14.28515625" customWidth="1"/>
    <col min="10720" max="10720" width="0.85546875" customWidth="1"/>
    <col min="10721" max="10721" width="16.5703125" bestFit="1" customWidth="1"/>
    <col min="10722" max="10722" width="13.42578125" bestFit="1" customWidth="1"/>
    <col min="10969" max="10969" width="4.85546875" bestFit="1" customWidth="1"/>
    <col min="10970" max="10970" width="5.85546875" bestFit="1" customWidth="1"/>
    <col min="10971" max="10971" width="7.42578125" bestFit="1" customWidth="1"/>
    <col min="10972" max="10972" width="8.140625" bestFit="1" customWidth="1"/>
    <col min="10973" max="10973" width="4.5703125" bestFit="1" customWidth="1"/>
    <col min="10974" max="10974" width="57.5703125" customWidth="1"/>
    <col min="10975" max="10975" width="14.28515625" customWidth="1"/>
    <col min="10976" max="10976" width="0.85546875" customWidth="1"/>
    <col min="10977" max="10977" width="16.5703125" bestFit="1" customWidth="1"/>
    <col min="10978" max="10978" width="13.42578125" bestFit="1" customWidth="1"/>
    <col min="11225" max="11225" width="4.85546875" bestFit="1" customWidth="1"/>
    <col min="11226" max="11226" width="5.85546875" bestFit="1" customWidth="1"/>
    <col min="11227" max="11227" width="7.42578125" bestFit="1" customWidth="1"/>
    <col min="11228" max="11228" width="8.140625" bestFit="1" customWidth="1"/>
    <col min="11229" max="11229" width="4.5703125" bestFit="1" customWidth="1"/>
    <col min="11230" max="11230" width="57.5703125" customWidth="1"/>
    <col min="11231" max="11231" width="14.28515625" customWidth="1"/>
    <col min="11232" max="11232" width="0.85546875" customWidth="1"/>
    <col min="11233" max="11233" width="16.5703125" bestFit="1" customWidth="1"/>
    <col min="11234" max="11234" width="13.42578125" bestFit="1" customWidth="1"/>
    <col min="11481" max="11481" width="4.85546875" bestFit="1" customWidth="1"/>
    <col min="11482" max="11482" width="5.85546875" bestFit="1" customWidth="1"/>
    <col min="11483" max="11483" width="7.42578125" bestFit="1" customWidth="1"/>
    <col min="11484" max="11484" width="8.140625" bestFit="1" customWidth="1"/>
    <col min="11485" max="11485" width="4.5703125" bestFit="1" customWidth="1"/>
    <col min="11486" max="11486" width="57.5703125" customWidth="1"/>
    <col min="11487" max="11487" width="14.28515625" customWidth="1"/>
    <col min="11488" max="11488" width="0.85546875" customWidth="1"/>
    <col min="11489" max="11489" width="16.5703125" bestFit="1" customWidth="1"/>
    <col min="11490" max="11490" width="13.42578125" bestFit="1" customWidth="1"/>
    <col min="11737" max="11737" width="4.85546875" bestFit="1" customWidth="1"/>
    <col min="11738" max="11738" width="5.85546875" bestFit="1" customWidth="1"/>
    <col min="11739" max="11739" width="7.42578125" bestFit="1" customWidth="1"/>
    <col min="11740" max="11740" width="8.140625" bestFit="1" customWidth="1"/>
    <col min="11741" max="11741" width="4.5703125" bestFit="1" customWidth="1"/>
    <col min="11742" max="11742" width="57.5703125" customWidth="1"/>
    <col min="11743" max="11743" width="14.28515625" customWidth="1"/>
    <col min="11744" max="11744" width="0.85546875" customWidth="1"/>
    <col min="11745" max="11745" width="16.5703125" bestFit="1" customWidth="1"/>
    <col min="11746" max="11746" width="13.42578125" bestFit="1" customWidth="1"/>
    <col min="11993" max="11993" width="4.85546875" bestFit="1" customWidth="1"/>
    <col min="11994" max="11994" width="5.85546875" bestFit="1" customWidth="1"/>
    <col min="11995" max="11995" width="7.42578125" bestFit="1" customWidth="1"/>
    <col min="11996" max="11996" width="8.140625" bestFit="1" customWidth="1"/>
    <col min="11997" max="11997" width="4.5703125" bestFit="1" customWidth="1"/>
    <col min="11998" max="11998" width="57.5703125" customWidth="1"/>
    <col min="11999" max="11999" width="14.28515625" customWidth="1"/>
    <col min="12000" max="12000" width="0.85546875" customWidth="1"/>
    <col min="12001" max="12001" width="16.5703125" bestFit="1" customWidth="1"/>
    <col min="12002" max="12002" width="13.42578125" bestFit="1" customWidth="1"/>
    <col min="12249" max="12249" width="4.85546875" bestFit="1" customWidth="1"/>
    <col min="12250" max="12250" width="5.85546875" bestFit="1" customWidth="1"/>
    <col min="12251" max="12251" width="7.42578125" bestFit="1" customWidth="1"/>
    <col min="12252" max="12252" width="8.140625" bestFit="1" customWidth="1"/>
    <col min="12253" max="12253" width="4.5703125" bestFit="1" customWidth="1"/>
    <col min="12254" max="12254" width="57.5703125" customWidth="1"/>
    <col min="12255" max="12255" width="14.28515625" customWidth="1"/>
    <col min="12256" max="12256" width="0.85546875" customWidth="1"/>
    <col min="12257" max="12257" width="16.5703125" bestFit="1" customWidth="1"/>
    <col min="12258" max="12258" width="13.42578125" bestFit="1" customWidth="1"/>
    <col min="12505" max="12505" width="4.85546875" bestFit="1" customWidth="1"/>
    <col min="12506" max="12506" width="5.85546875" bestFit="1" customWidth="1"/>
    <col min="12507" max="12507" width="7.42578125" bestFit="1" customWidth="1"/>
    <col min="12508" max="12508" width="8.140625" bestFit="1" customWidth="1"/>
    <col min="12509" max="12509" width="4.5703125" bestFit="1" customWidth="1"/>
    <col min="12510" max="12510" width="57.5703125" customWidth="1"/>
    <col min="12511" max="12511" width="14.28515625" customWidth="1"/>
    <col min="12512" max="12512" width="0.85546875" customWidth="1"/>
    <col min="12513" max="12513" width="16.5703125" bestFit="1" customWidth="1"/>
    <col min="12514" max="12514" width="13.42578125" bestFit="1" customWidth="1"/>
    <col min="12761" max="12761" width="4.85546875" bestFit="1" customWidth="1"/>
    <col min="12762" max="12762" width="5.85546875" bestFit="1" customWidth="1"/>
    <col min="12763" max="12763" width="7.42578125" bestFit="1" customWidth="1"/>
    <col min="12764" max="12764" width="8.140625" bestFit="1" customWidth="1"/>
    <col min="12765" max="12765" width="4.5703125" bestFit="1" customWidth="1"/>
    <col min="12766" max="12766" width="57.5703125" customWidth="1"/>
    <col min="12767" max="12767" width="14.28515625" customWidth="1"/>
    <col min="12768" max="12768" width="0.85546875" customWidth="1"/>
    <col min="12769" max="12769" width="16.5703125" bestFit="1" customWidth="1"/>
    <col min="12770" max="12770" width="13.42578125" bestFit="1" customWidth="1"/>
    <col min="13017" max="13017" width="4.85546875" bestFit="1" customWidth="1"/>
    <col min="13018" max="13018" width="5.85546875" bestFit="1" customWidth="1"/>
    <col min="13019" max="13019" width="7.42578125" bestFit="1" customWidth="1"/>
    <col min="13020" max="13020" width="8.140625" bestFit="1" customWidth="1"/>
    <col min="13021" max="13021" width="4.5703125" bestFit="1" customWidth="1"/>
    <col min="13022" max="13022" width="57.5703125" customWidth="1"/>
    <col min="13023" max="13023" width="14.28515625" customWidth="1"/>
    <col min="13024" max="13024" width="0.85546875" customWidth="1"/>
    <col min="13025" max="13025" width="16.5703125" bestFit="1" customWidth="1"/>
    <col min="13026" max="13026" width="13.42578125" bestFit="1" customWidth="1"/>
    <col min="13273" max="13273" width="4.85546875" bestFit="1" customWidth="1"/>
    <col min="13274" max="13274" width="5.85546875" bestFit="1" customWidth="1"/>
    <col min="13275" max="13275" width="7.42578125" bestFit="1" customWidth="1"/>
    <col min="13276" max="13276" width="8.140625" bestFit="1" customWidth="1"/>
    <col min="13277" max="13277" width="4.5703125" bestFit="1" customWidth="1"/>
    <col min="13278" max="13278" width="57.5703125" customWidth="1"/>
    <col min="13279" max="13279" width="14.28515625" customWidth="1"/>
    <col min="13280" max="13280" width="0.85546875" customWidth="1"/>
    <col min="13281" max="13281" width="16.5703125" bestFit="1" customWidth="1"/>
    <col min="13282" max="13282" width="13.42578125" bestFit="1" customWidth="1"/>
    <col min="13529" max="13529" width="4.85546875" bestFit="1" customWidth="1"/>
    <col min="13530" max="13530" width="5.85546875" bestFit="1" customWidth="1"/>
    <col min="13531" max="13531" width="7.42578125" bestFit="1" customWidth="1"/>
    <col min="13532" max="13532" width="8.140625" bestFit="1" customWidth="1"/>
    <col min="13533" max="13533" width="4.5703125" bestFit="1" customWidth="1"/>
    <col min="13534" max="13534" width="57.5703125" customWidth="1"/>
    <col min="13535" max="13535" width="14.28515625" customWidth="1"/>
    <col min="13536" max="13536" width="0.85546875" customWidth="1"/>
    <col min="13537" max="13537" width="16.5703125" bestFit="1" customWidth="1"/>
    <col min="13538" max="13538" width="13.42578125" bestFit="1" customWidth="1"/>
    <col min="13785" max="13785" width="4.85546875" bestFit="1" customWidth="1"/>
    <col min="13786" max="13786" width="5.85546875" bestFit="1" customWidth="1"/>
    <col min="13787" max="13787" width="7.42578125" bestFit="1" customWidth="1"/>
    <col min="13788" max="13788" width="8.140625" bestFit="1" customWidth="1"/>
    <col min="13789" max="13789" width="4.5703125" bestFit="1" customWidth="1"/>
    <col min="13790" max="13790" width="57.5703125" customWidth="1"/>
    <col min="13791" max="13791" width="14.28515625" customWidth="1"/>
    <col min="13792" max="13792" width="0.85546875" customWidth="1"/>
    <col min="13793" max="13793" width="16.5703125" bestFit="1" customWidth="1"/>
    <col min="13794" max="13794" width="13.42578125" bestFit="1" customWidth="1"/>
    <col min="14041" max="14041" width="4.85546875" bestFit="1" customWidth="1"/>
    <col min="14042" max="14042" width="5.85546875" bestFit="1" customWidth="1"/>
    <col min="14043" max="14043" width="7.42578125" bestFit="1" customWidth="1"/>
    <col min="14044" max="14044" width="8.140625" bestFit="1" customWidth="1"/>
    <col min="14045" max="14045" width="4.5703125" bestFit="1" customWidth="1"/>
    <col min="14046" max="14046" width="57.5703125" customWidth="1"/>
    <col min="14047" max="14047" width="14.28515625" customWidth="1"/>
    <col min="14048" max="14048" width="0.85546875" customWidth="1"/>
    <col min="14049" max="14049" width="16.5703125" bestFit="1" customWidth="1"/>
    <col min="14050" max="14050" width="13.42578125" bestFit="1" customWidth="1"/>
    <col min="14297" max="14297" width="4.85546875" bestFit="1" customWidth="1"/>
    <col min="14298" max="14298" width="5.85546875" bestFit="1" customWidth="1"/>
    <col min="14299" max="14299" width="7.42578125" bestFit="1" customWidth="1"/>
    <col min="14300" max="14300" width="8.140625" bestFit="1" customWidth="1"/>
    <col min="14301" max="14301" width="4.5703125" bestFit="1" customWidth="1"/>
    <col min="14302" max="14302" width="57.5703125" customWidth="1"/>
    <col min="14303" max="14303" width="14.28515625" customWidth="1"/>
    <col min="14304" max="14304" width="0.85546875" customWidth="1"/>
    <col min="14305" max="14305" width="16.5703125" bestFit="1" customWidth="1"/>
    <col min="14306" max="14306" width="13.42578125" bestFit="1" customWidth="1"/>
    <col min="14553" max="14553" width="4.85546875" bestFit="1" customWidth="1"/>
    <col min="14554" max="14554" width="5.85546875" bestFit="1" customWidth="1"/>
    <col min="14555" max="14555" width="7.42578125" bestFit="1" customWidth="1"/>
    <col min="14556" max="14556" width="8.140625" bestFit="1" customWidth="1"/>
    <col min="14557" max="14557" width="4.5703125" bestFit="1" customWidth="1"/>
    <col min="14558" max="14558" width="57.5703125" customWidth="1"/>
    <col min="14559" max="14559" width="14.28515625" customWidth="1"/>
    <col min="14560" max="14560" width="0.85546875" customWidth="1"/>
    <col min="14561" max="14561" width="16.5703125" bestFit="1" customWidth="1"/>
    <col min="14562" max="14562" width="13.42578125" bestFit="1" customWidth="1"/>
    <col min="14809" max="14809" width="4.85546875" bestFit="1" customWidth="1"/>
    <col min="14810" max="14810" width="5.85546875" bestFit="1" customWidth="1"/>
    <col min="14811" max="14811" width="7.42578125" bestFit="1" customWidth="1"/>
    <col min="14812" max="14812" width="8.140625" bestFit="1" customWidth="1"/>
    <col min="14813" max="14813" width="4.5703125" bestFit="1" customWidth="1"/>
    <col min="14814" max="14814" width="57.5703125" customWidth="1"/>
    <col min="14815" max="14815" width="14.28515625" customWidth="1"/>
    <col min="14816" max="14816" width="0.85546875" customWidth="1"/>
    <col min="14817" max="14817" width="16.5703125" bestFit="1" customWidth="1"/>
    <col min="14818" max="14818" width="13.42578125" bestFit="1" customWidth="1"/>
    <col min="15065" max="15065" width="4.85546875" bestFit="1" customWidth="1"/>
    <col min="15066" max="15066" width="5.85546875" bestFit="1" customWidth="1"/>
    <col min="15067" max="15067" width="7.42578125" bestFit="1" customWidth="1"/>
    <col min="15068" max="15068" width="8.140625" bestFit="1" customWidth="1"/>
    <col min="15069" max="15069" width="4.5703125" bestFit="1" customWidth="1"/>
    <col min="15070" max="15070" width="57.5703125" customWidth="1"/>
    <col min="15071" max="15071" width="14.28515625" customWidth="1"/>
    <col min="15072" max="15072" width="0.85546875" customWidth="1"/>
    <col min="15073" max="15073" width="16.5703125" bestFit="1" customWidth="1"/>
    <col min="15074" max="15074" width="13.42578125" bestFit="1" customWidth="1"/>
    <col min="15321" max="15321" width="4.85546875" bestFit="1" customWidth="1"/>
    <col min="15322" max="15322" width="5.85546875" bestFit="1" customWidth="1"/>
    <col min="15323" max="15323" width="7.42578125" bestFit="1" customWidth="1"/>
    <col min="15324" max="15324" width="8.140625" bestFit="1" customWidth="1"/>
    <col min="15325" max="15325" width="4.5703125" bestFit="1" customWidth="1"/>
    <col min="15326" max="15326" width="57.5703125" customWidth="1"/>
    <col min="15327" max="15327" width="14.28515625" customWidth="1"/>
    <col min="15328" max="15328" width="0.85546875" customWidth="1"/>
    <col min="15329" max="15329" width="16.5703125" bestFit="1" customWidth="1"/>
    <col min="15330" max="15330" width="13.42578125" bestFit="1" customWidth="1"/>
    <col min="15577" max="15577" width="4.85546875" bestFit="1" customWidth="1"/>
    <col min="15578" max="15578" width="5.85546875" bestFit="1" customWidth="1"/>
    <col min="15579" max="15579" width="7.42578125" bestFit="1" customWidth="1"/>
    <col min="15580" max="15580" width="8.140625" bestFit="1" customWidth="1"/>
    <col min="15581" max="15581" width="4.5703125" bestFit="1" customWidth="1"/>
    <col min="15582" max="15582" width="57.5703125" customWidth="1"/>
    <col min="15583" max="15583" width="14.28515625" customWidth="1"/>
    <col min="15584" max="15584" width="0.85546875" customWidth="1"/>
    <col min="15585" max="15585" width="16.5703125" bestFit="1" customWidth="1"/>
    <col min="15586" max="15586" width="13.42578125" bestFit="1" customWidth="1"/>
    <col min="15833" max="15833" width="4.85546875" bestFit="1" customWidth="1"/>
    <col min="15834" max="15834" width="5.85546875" bestFit="1" customWidth="1"/>
    <col min="15835" max="15835" width="7.42578125" bestFit="1" customWidth="1"/>
    <col min="15836" max="15836" width="8.140625" bestFit="1" customWidth="1"/>
    <col min="15837" max="15837" width="4.5703125" bestFit="1" customWidth="1"/>
    <col min="15838" max="15838" width="57.5703125" customWidth="1"/>
    <col min="15839" max="15839" width="14.28515625" customWidth="1"/>
    <col min="15840" max="15840" width="0.85546875" customWidth="1"/>
    <col min="15841" max="15841" width="16.5703125" bestFit="1" customWidth="1"/>
    <col min="15842" max="15842" width="13.42578125" bestFit="1" customWidth="1"/>
    <col min="16089" max="16089" width="4.85546875" bestFit="1" customWidth="1"/>
    <col min="16090" max="16090" width="5.85546875" bestFit="1" customWidth="1"/>
    <col min="16091" max="16091" width="7.42578125" bestFit="1" customWidth="1"/>
    <col min="16092" max="16092" width="8.140625" bestFit="1" customWidth="1"/>
    <col min="16093" max="16093" width="4.5703125" bestFit="1" customWidth="1"/>
    <col min="16094" max="16094" width="57.5703125" customWidth="1"/>
    <col min="16095" max="16095" width="14.28515625" customWidth="1"/>
    <col min="16096" max="16096" width="0.85546875" customWidth="1"/>
    <col min="16097" max="16097" width="16.5703125" bestFit="1" customWidth="1"/>
    <col min="16098" max="16098" width="13.42578125" bestFit="1" customWidth="1"/>
  </cols>
  <sheetData>
    <row r="1" spans="1:13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13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13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13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13" s="174" customFormat="1" ht="20.25" x14ac:dyDescent="0.3">
      <c r="A5" s="265" t="str">
        <f>'[1]Estado de flujo de Efectivo'!A1:B1</f>
        <v>Consejo Económico y Social -CES-</v>
      </c>
      <c r="B5" s="265"/>
      <c r="C5" s="265"/>
      <c r="D5" s="265"/>
      <c r="E5" s="265"/>
      <c r="F5" s="265"/>
      <c r="G5" s="265"/>
      <c r="H5" s="265"/>
      <c r="I5" s="33"/>
    </row>
    <row r="6" spans="1:13" s="174" customFormat="1" ht="20.25" x14ac:dyDescent="0.3">
      <c r="A6" s="265" t="s">
        <v>134</v>
      </c>
      <c r="B6" s="265"/>
      <c r="C6" s="265"/>
      <c r="D6" s="265"/>
      <c r="E6" s="265"/>
      <c r="F6" s="265"/>
      <c r="G6" s="265"/>
      <c r="H6" s="265"/>
      <c r="I6" s="33"/>
    </row>
    <row r="7" spans="1:13" s="174" customFormat="1" ht="20.25" x14ac:dyDescent="0.3">
      <c r="A7" s="265" t="s">
        <v>0</v>
      </c>
      <c r="B7" s="265"/>
      <c r="C7" s="265"/>
      <c r="D7" s="265"/>
      <c r="E7" s="265"/>
      <c r="F7" s="265"/>
      <c r="G7" s="265"/>
      <c r="H7" s="265"/>
      <c r="I7" s="33"/>
    </row>
    <row r="8" spans="1:13" s="174" customFormat="1" ht="16.5" thickBot="1" x14ac:dyDescent="0.3">
      <c r="A8" s="141"/>
      <c r="B8" s="141"/>
      <c r="C8" s="141"/>
      <c r="D8" s="141"/>
      <c r="E8" s="141"/>
      <c r="F8" s="69"/>
      <c r="G8" s="69"/>
      <c r="H8" s="70"/>
      <c r="I8" s="33"/>
    </row>
    <row r="9" spans="1:13" ht="48" thickBot="1" x14ac:dyDescent="0.3">
      <c r="A9" s="71"/>
      <c r="B9" s="71"/>
      <c r="C9" s="72"/>
      <c r="D9" s="72"/>
      <c r="E9" s="73"/>
      <c r="F9" s="77"/>
      <c r="G9" s="78" t="s">
        <v>126</v>
      </c>
      <c r="H9" s="79" t="s">
        <v>127</v>
      </c>
      <c r="I9" s="2" t="s">
        <v>3</v>
      </c>
      <c r="J9" s="79" t="s">
        <v>130</v>
      </c>
      <c r="K9" s="79" t="s">
        <v>132</v>
      </c>
      <c r="L9" s="79" t="s">
        <v>135</v>
      </c>
      <c r="M9" s="175" t="s">
        <v>128</v>
      </c>
    </row>
    <row r="10" spans="1:13" ht="32.25" thickBot="1" x14ac:dyDescent="0.3">
      <c r="A10" s="80" t="s">
        <v>4</v>
      </c>
      <c r="B10" s="78" t="s">
        <v>5</v>
      </c>
      <c r="C10" s="81" t="s">
        <v>6</v>
      </c>
      <c r="D10" s="78" t="s">
        <v>7</v>
      </c>
      <c r="E10" s="78" t="s">
        <v>8</v>
      </c>
      <c r="F10" s="71" t="s">
        <v>9</v>
      </c>
      <c r="G10" s="82" t="s">
        <v>10</v>
      </c>
      <c r="H10" s="83" t="s">
        <v>10</v>
      </c>
      <c r="I10" s="3" t="s">
        <v>10</v>
      </c>
      <c r="J10" s="83" t="s">
        <v>10</v>
      </c>
      <c r="K10" s="83" t="s">
        <v>10</v>
      </c>
      <c r="L10" s="83" t="s">
        <v>10</v>
      </c>
      <c r="M10" s="83" t="s">
        <v>10</v>
      </c>
    </row>
    <row r="11" spans="1:13" ht="15.75" x14ac:dyDescent="0.25">
      <c r="A11" s="84"/>
      <c r="B11" s="85"/>
      <c r="C11" s="86"/>
      <c r="D11" s="87"/>
      <c r="E11" s="88"/>
      <c r="F11" s="89"/>
      <c r="G11" s="90"/>
      <c r="H11" s="91"/>
      <c r="I11" s="4"/>
      <c r="J11" s="91"/>
      <c r="K11" s="91"/>
      <c r="L11" s="91"/>
      <c r="M11" s="91"/>
    </row>
    <row r="12" spans="1:13" ht="16.5" thickBot="1" x14ac:dyDescent="0.3">
      <c r="A12" s="85">
        <v>2</v>
      </c>
      <c r="B12" s="85">
        <v>1</v>
      </c>
      <c r="C12" s="92"/>
      <c r="D12" s="85"/>
      <c r="E12" s="93"/>
      <c r="F12" s="94" t="s">
        <v>11</v>
      </c>
      <c r="G12" s="95">
        <f>G13+G31+G38+G43-1</f>
        <v>23002832</v>
      </c>
      <c r="H12" s="165">
        <f t="shared" ref="H12:M12" si="0">H13+H31+H38+H43</f>
        <v>1661145.73</v>
      </c>
      <c r="I12" s="5" t="e">
        <f t="shared" si="0"/>
        <v>#REF!</v>
      </c>
      <c r="J12" s="165">
        <f t="shared" si="0"/>
        <v>1673803.74</v>
      </c>
      <c r="K12" s="165">
        <f t="shared" si="0"/>
        <v>1673803.74</v>
      </c>
      <c r="L12" s="165">
        <f t="shared" si="0"/>
        <v>1667742.0209999999</v>
      </c>
      <c r="M12" s="165">
        <f t="shared" si="0"/>
        <v>6676495.2309999997</v>
      </c>
    </row>
    <row r="13" spans="1:13" ht="16.5" thickBot="1" x14ac:dyDescent="0.3">
      <c r="A13" s="85">
        <v>2</v>
      </c>
      <c r="B13" s="85">
        <v>1</v>
      </c>
      <c r="C13" s="92">
        <v>1</v>
      </c>
      <c r="D13" s="85"/>
      <c r="E13" s="93"/>
      <c r="F13" s="94" t="s">
        <v>12</v>
      </c>
      <c r="G13" s="96">
        <f t="shared" ref="G13:M13" si="1">G14+G17+G22+G25</f>
        <v>19031957</v>
      </c>
      <c r="H13" s="96">
        <f t="shared" si="1"/>
        <v>1454830</v>
      </c>
      <c r="I13" s="6" t="e">
        <f t="shared" si="1"/>
        <v>#REF!</v>
      </c>
      <c r="J13" s="96">
        <f t="shared" si="1"/>
        <v>1464830</v>
      </c>
      <c r="K13" s="96">
        <f t="shared" si="1"/>
        <v>1464830</v>
      </c>
      <c r="L13" s="96">
        <f t="shared" si="1"/>
        <v>1464830</v>
      </c>
      <c r="M13" s="96">
        <f t="shared" si="1"/>
        <v>5849320</v>
      </c>
    </row>
    <row r="14" spans="1:13" ht="16.5" thickBot="1" x14ac:dyDescent="0.3">
      <c r="A14" s="85">
        <v>2</v>
      </c>
      <c r="B14" s="85">
        <v>1</v>
      </c>
      <c r="C14" s="92">
        <v>1</v>
      </c>
      <c r="D14" s="85">
        <v>1</v>
      </c>
      <c r="E14" s="93"/>
      <c r="F14" s="94" t="s">
        <v>13</v>
      </c>
      <c r="G14" s="97">
        <f t="shared" ref="G14:M14" si="2">G15</f>
        <v>6300000</v>
      </c>
      <c r="H14" s="98">
        <f t="shared" si="2"/>
        <v>525000</v>
      </c>
      <c r="I14" s="7" t="e">
        <f t="shared" si="2"/>
        <v>#REF!</v>
      </c>
      <c r="J14" s="98">
        <f t="shared" si="2"/>
        <v>525000</v>
      </c>
      <c r="K14" s="98">
        <f t="shared" si="2"/>
        <v>525000</v>
      </c>
      <c r="L14" s="98">
        <f t="shared" si="2"/>
        <v>525000</v>
      </c>
      <c r="M14" s="98">
        <f t="shared" si="2"/>
        <v>2100000</v>
      </c>
    </row>
    <row r="15" spans="1:13" ht="15.75" x14ac:dyDescent="0.25">
      <c r="A15" s="85">
        <v>2</v>
      </c>
      <c r="B15" s="85">
        <v>1</v>
      </c>
      <c r="C15" s="92">
        <v>1</v>
      </c>
      <c r="D15" s="85">
        <v>1</v>
      </c>
      <c r="E15" s="85">
        <v>1</v>
      </c>
      <c r="F15" s="99" t="s">
        <v>14</v>
      </c>
      <c r="G15" s="100">
        <v>6300000</v>
      </c>
      <c r="H15" s="101">
        <f>225000+300000</f>
        <v>525000</v>
      </c>
      <c r="I15" s="8" t="e">
        <f>+G15-#REF!</f>
        <v>#REF!</v>
      </c>
      <c r="J15" s="101">
        <f>225000+300000</f>
        <v>525000</v>
      </c>
      <c r="K15" s="101">
        <f>225000+300000</f>
        <v>525000</v>
      </c>
      <c r="L15" s="101">
        <f>225000+300000</f>
        <v>525000</v>
      </c>
      <c r="M15" s="101">
        <f>+H15+J15+K15+L15</f>
        <v>2100000</v>
      </c>
    </row>
    <row r="16" spans="1:13" ht="15.75" x14ac:dyDescent="0.25">
      <c r="A16" s="85"/>
      <c r="B16" s="85"/>
      <c r="C16" s="92"/>
      <c r="D16" s="85"/>
      <c r="E16" s="84"/>
      <c r="F16" s="99"/>
      <c r="G16" s="102"/>
      <c r="H16" s="103"/>
      <c r="I16" s="9"/>
      <c r="J16" s="103"/>
      <c r="K16" s="103"/>
      <c r="L16" s="103"/>
      <c r="M16" s="103"/>
    </row>
    <row r="17" spans="1:13" ht="32.25" thickBot="1" x14ac:dyDescent="0.3">
      <c r="A17" s="85">
        <v>2</v>
      </c>
      <c r="B17" s="85">
        <v>1</v>
      </c>
      <c r="C17" s="92">
        <v>1</v>
      </c>
      <c r="D17" s="85">
        <v>2</v>
      </c>
      <c r="E17" s="93"/>
      <c r="F17" s="104" t="s">
        <v>15</v>
      </c>
      <c r="G17" s="95">
        <f>G18</f>
        <v>11267960</v>
      </c>
      <c r="H17" s="105">
        <f t="shared" ref="H17:M17" si="3">SUM(H18:H20)</f>
        <v>929830</v>
      </c>
      <c r="I17" s="10" t="e">
        <f t="shared" si="3"/>
        <v>#REF!</v>
      </c>
      <c r="J17" s="105">
        <f t="shared" si="3"/>
        <v>939830</v>
      </c>
      <c r="K17" s="105">
        <f t="shared" si="3"/>
        <v>939830</v>
      </c>
      <c r="L17" s="105">
        <f t="shared" si="3"/>
        <v>939830</v>
      </c>
      <c r="M17" s="105">
        <f t="shared" si="3"/>
        <v>3749320</v>
      </c>
    </row>
    <row r="18" spans="1:13" ht="15.75" x14ac:dyDescent="0.25">
      <c r="A18" s="85">
        <v>2</v>
      </c>
      <c r="B18" s="85">
        <v>1</v>
      </c>
      <c r="C18" s="92">
        <v>1</v>
      </c>
      <c r="D18" s="85">
        <v>2</v>
      </c>
      <c r="E18" s="85">
        <v>1</v>
      </c>
      <c r="F18" s="106" t="s">
        <v>16</v>
      </c>
      <c r="G18" s="107">
        <v>11267960</v>
      </c>
      <c r="H18" s="103">
        <f>51400+75378+60885+73500+48920+80500+93500+73500+122117+110065+85065</f>
        <v>874830</v>
      </c>
      <c r="I18" s="9" t="e">
        <f>+G18-#REF!</f>
        <v>#REF!</v>
      </c>
      <c r="J18" s="103">
        <f>51400+75378+60885+73500+48920+80500+93500+73500+122117+110065+85065+65000</f>
        <v>939830</v>
      </c>
      <c r="K18" s="103">
        <f>51400+75378+60885+73500+48920+80500+93500+73500+122117+110065+85065+65000</f>
        <v>939830</v>
      </c>
      <c r="L18" s="103">
        <f>51400+75378+60885+73500+48920+80500+93500+73500+122117+110065+85065+65000</f>
        <v>939830</v>
      </c>
      <c r="M18" s="103">
        <f>+H18+J18+K18+L18</f>
        <v>3694320</v>
      </c>
    </row>
    <row r="19" spans="1:13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2</v>
      </c>
      <c r="F19" s="106" t="s">
        <v>17</v>
      </c>
      <c r="G19" s="102"/>
      <c r="H19" s="103"/>
      <c r="I19" s="9"/>
      <c r="J19" s="103"/>
      <c r="K19" s="103"/>
      <c r="L19" s="103"/>
      <c r="M19" s="103">
        <f>+H19+J19+K19+L19</f>
        <v>0</v>
      </c>
    </row>
    <row r="20" spans="1:13" ht="15.75" x14ac:dyDescent="0.25">
      <c r="A20" s="85">
        <v>2</v>
      </c>
      <c r="B20" s="85">
        <v>1</v>
      </c>
      <c r="C20" s="92">
        <v>1</v>
      </c>
      <c r="D20" s="85">
        <v>2</v>
      </c>
      <c r="E20" s="85">
        <v>5</v>
      </c>
      <c r="F20" s="106" t="s">
        <v>18</v>
      </c>
      <c r="G20" s="108"/>
      <c r="H20" s="110">
        <v>55000</v>
      </c>
      <c r="I20" s="12" t="e">
        <f>+G20-#REF!</f>
        <v>#REF!</v>
      </c>
      <c r="J20" s="110"/>
      <c r="K20" s="110"/>
      <c r="L20" s="110"/>
      <c r="M20" s="103">
        <f>+H20+J20+K20+L20</f>
        <v>55000</v>
      </c>
    </row>
    <row r="21" spans="1:13" ht="15.75" x14ac:dyDescent="0.25">
      <c r="A21" s="85"/>
      <c r="B21" s="85"/>
      <c r="C21" s="92"/>
      <c r="D21" s="85"/>
      <c r="E21" s="85"/>
      <c r="F21" s="106"/>
      <c r="G21" s="108"/>
      <c r="H21" s="110" t="s">
        <v>19</v>
      </c>
      <c r="I21" s="12"/>
      <c r="J21" s="110" t="s">
        <v>19</v>
      </c>
      <c r="K21" s="110"/>
      <c r="L21" s="110"/>
      <c r="M21" s="110" t="s">
        <v>19</v>
      </c>
    </row>
    <row r="22" spans="1:13" ht="16.5" thickBot="1" x14ac:dyDescent="0.3">
      <c r="A22" s="85">
        <v>2</v>
      </c>
      <c r="B22" s="85">
        <v>1</v>
      </c>
      <c r="C22" s="92">
        <v>1</v>
      </c>
      <c r="D22" s="85">
        <v>4</v>
      </c>
      <c r="E22" s="93"/>
      <c r="F22" s="104" t="s">
        <v>20</v>
      </c>
      <c r="G22" s="95">
        <f t="shared" ref="G22:M22" si="4">G23</f>
        <v>1463997</v>
      </c>
      <c r="H22" s="96">
        <f t="shared" si="4"/>
        <v>0</v>
      </c>
      <c r="I22" s="6" t="e">
        <f t="shared" si="4"/>
        <v>#REF!</v>
      </c>
      <c r="J22" s="96">
        <f t="shared" si="4"/>
        <v>0</v>
      </c>
      <c r="K22" s="96">
        <f t="shared" si="4"/>
        <v>0</v>
      </c>
      <c r="L22" s="96">
        <f t="shared" si="4"/>
        <v>0</v>
      </c>
      <c r="M22" s="96">
        <f t="shared" si="4"/>
        <v>0</v>
      </c>
    </row>
    <row r="23" spans="1:13" ht="15.75" x14ac:dyDescent="0.25">
      <c r="A23" s="85">
        <v>2</v>
      </c>
      <c r="B23" s="85">
        <v>1</v>
      </c>
      <c r="C23" s="92">
        <v>1</v>
      </c>
      <c r="D23" s="85">
        <v>4</v>
      </c>
      <c r="E23" s="85">
        <v>1</v>
      </c>
      <c r="F23" s="106" t="s">
        <v>21</v>
      </c>
      <c r="G23" s="107">
        <v>1463997</v>
      </c>
      <c r="H23" s="109">
        <v>0</v>
      </c>
      <c r="I23" s="13" t="e">
        <f>+G23-#REF!</f>
        <v>#REF!</v>
      </c>
      <c r="J23" s="109">
        <v>0</v>
      </c>
      <c r="K23" s="109"/>
      <c r="L23" s="109"/>
      <c r="M23" s="109">
        <f>+H23+J23+K23+L23</f>
        <v>0</v>
      </c>
    </row>
    <row r="24" spans="1:13" ht="15.75" x14ac:dyDescent="0.25">
      <c r="A24" s="85"/>
      <c r="B24" s="85"/>
      <c r="C24" s="92"/>
      <c r="D24" s="85"/>
      <c r="E24" s="85"/>
      <c r="F24" s="106"/>
      <c r="G24" s="108"/>
      <c r="H24" s="110"/>
      <c r="I24" s="12"/>
      <c r="J24" s="110"/>
      <c r="K24" s="110"/>
      <c r="L24" s="110"/>
      <c r="M24" s="110"/>
    </row>
    <row r="25" spans="1:13" ht="16.5" thickBot="1" x14ac:dyDescent="0.3">
      <c r="A25" s="85">
        <v>2</v>
      </c>
      <c r="B25" s="85">
        <v>1</v>
      </c>
      <c r="C25" s="92">
        <v>1</v>
      </c>
      <c r="D25" s="85">
        <v>5</v>
      </c>
      <c r="E25" s="93"/>
      <c r="F25" s="104" t="s">
        <v>22</v>
      </c>
      <c r="G25" s="111">
        <f>G26+G29</f>
        <v>0</v>
      </c>
      <c r="H25" s="105">
        <f t="shared" ref="H25:M25" si="5">H26+H27+H28+H29</f>
        <v>0</v>
      </c>
      <c r="I25" s="10">
        <f t="shared" si="5"/>
        <v>0</v>
      </c>
      <c r="J25" s="105">
        <f t="shared" si="5"/>
        <v>0</v>
      </c>
      <c r="K25" s="105">
        <f t="shared" si="5"/>
        <v>0</v>
      </c>
      <c r="L25" s="105">
        <f t="shared" si="5"/>
        <v>0</v>
      </c>
      <c r="M25" s="105">
        <f t="shared" si="5"/>
        <v>0</v>
      </c>
    </row>
    <row r="26" spans="1:13" ht="15.75" x14ac:dyDescent="0.25">
      <c r="A26" s="85">
        <v>2</v>
      </c>
      <c r="B26" s="85">
        <v>1</v>
      </c>
      <c r="C26" s="92">
        <v>1</v>
      </c>
      <c r="D26" s="85">
        <v>5</v>
      </c>
      <c r="E26" s="85">
        <v>1</v>
      </c>
      <c r="F26" s="106" t="s">
        <v>22</v>
      </c>
      <c r="G26" s="108"/>
      <c r="H26" s="110">
        <v>0</v>
      </c>
      <c r="I26" s="12">
        <v>0</v>
      </c>
      <c r="J26" s="110">
        <v>0</v>
      </c>
      <c r="K26" s="110"/>
      <c r="L26" s="110"/>
      <c r="M26" s="110">
        <f>+H26+J26+K26+L26</f>
        <v>0</v>
      </c>
    </row>
    <row r="27" spans="1:13" ht="31.5" x14ac:dyDescent="0.25">
      <c r="A27" s="85">
        <v>2</v>
      </c>
      <c r="B27" s="85">
        <v>1</v>
      </c>
      <c r="C27" s="92">
        <v>1</v>
      </c>
      <c r="D27" s="85">
        <v>5</v>
      </c>
      <c r="E27" s="85">
        <v>2</v>
      </c>
      <c r="F27" s="106" t="s">
        <v>23</v>
      </c>
      <c r="G27" s="108"/>
      <c r="H27" s="110">
        <v>0</v>
      </c>
      <c r="I27" s="12">
        <v>0</v>
      </c>
      <c r="J27" s="110">
        <v>0</v>
      </c>
      <c r="K27" s="110"/>
      <c r="L27" s="110"/>
      <c r="M27" s="110">
        <f>+H27+J27+K27+L27</f>
        <v>0</v>
      </c>
    </row>
    <row r="28" spans="1:13" ht="15.75" x14ac:dyDescent="0.25">
      <c r="A28" s="85">
        <v>2</v>
      </c>
      <c r="B28" s="85">
        <v>1</v>
      </c>
      <c r="C28" s="92">
        <v>1</v>
      </c>
      <c r="D28" s="85">
        <v>5</v>
      </c>
      <c r="E28" s="85">
        <v>3</v>
      </c>
      <c r="F28" s="106" t="s">
        <v>24</v>
      </c>
      <c r="G28" s="108"/>
      <c r="H28" s="110">
        <v>0</v>
      </c>
      <c r="I28" s="12">
        <v>0</v>
      </c>
      <c r="J28" s="110">
        <v>0</v>
      </c>
      <c r="K28" s="110"/>
      <c r="L28" s="110"/>
      <c r="M28" s="110">
        <f>+H28+J28+K28+L28</f>
        <v>0</v>
      </c>
    </row>
    <row r="29" spans="1:13" ht="15.75" x14ac:dyDescent="0.25">
      <c r="A29" s="85">
        <v>2</v>
      </c>
      <c r="B29" s="85">
        <v>1</v>
      </c>
      <c r="C29" s="92">
        <v>1</v>
      </c>
      <c r="D29" s="85">
        <v>5</v>
      </c>
      <c r="E29" s="85">
        <v>4</v>
      </c>
      <c r="F29" s="106" t="s">
        <v>25</v>
      </c>
      <c r="G29" s="108"/>
      <c r="H29" s="110"/>
      <c r="I29" s="12"/>
      <c r="J29" s="110"/>
      <c r="K29" s="110"/>
      <c r="L29" s="110"/>
      <c r="M29" s="110"/>
    </row>
    <row r="30" spans="1:13" ht="16.5" thickBot="1" x14ac:dyDescent="0.3">
      <c r="A30" s="85"/>
      <c r="B30" s="85"/>
      <c r="C30" s="92"/>
      <c r="D30" s="85"/>
      <c r="E30" s="85"/>
      <c r="F30" s="106"/>
      <c r="G30" s="108"/>
      <c r="H30" s="110"/>
      <c r="I30" s="12"/>
      <c r="J30" s="110"/>
      <c r="K30" s="110"/>
      <c r="L30" s="110"/>
      <c r="M30" s="110"/>
    </row>
    <row r="31" spans="1:13" ht="16.5" thickBot="1" x14ac:dyDescent="0.3">
      <c r="A31" s="85">
        <v>2</v>
      </c>
      <c r="B31" s="85">
        <v>1</v>
      </c>
      <c r="C31" s="92">
        <v>2</v>
      </c>
      <c r="D31" s="85"/>
      <c r="E31" s="85"/>
      <c r="F31" s="104" t="s">
        <v>26</v>
      </c>
      <c r="G31" s="112">
        <f t="shared" ref="G31:M31" si="6">G32</f>
        <v>1463997</v>
      </c>
      <c r="H31" s="113">
        <f t="shared" si="6"/>
        <v>0</v>
      </c>
      <c r="I31" s="14" t="e">
        <f t="shared" si="6"/>
        <v>#REF!</v>
      </c>
      <c r="J31" s="113">
        <f t="shared" si="6"/>
        <v>0</v>
      </c>
      <c r="K31" s="113">
        <f t="shared" si="6"/>
        <v>0</v>
      </c>
      <c r="L31" s="113">
        <f t="shared" si="6"/>
        <v>0</v>
      </c>
      <c r="M31" s="113">
        <f t="shared" si="6"/>
        <v>0</v>
      </c>
    </row>
    <row r="32" spans="1:13" ht="16.5" thickBot="1" x14ac:dyDescent="0.3">
      <c r="A32" s="85">
        <v>2</v>
      </c>
      <c r="B32" s="85">
        <v>1</v>
      </c>
      <c r="C32" s="85">
        <v>2</v>
      </c>
      <c r="D32" s="85">
        <v>2</v>
      </c>
      <c r="E32" s="85"/>
      <c r="F32" s="104" t="s">
        <v>27</v>
      </c>
      <c r="G32" s="95">
        <f>G33+G34+G35</f>
        <v>1463997</v>
      </c>
      <c r="H32" s="113">
        <f t="shared" ref="H32:M32" si="7">H35</f>
        <v>0</v>
      </c>
      <c r="I32" s="15" t="e">
        <f t="shared" si="7"/>
        <v>#REF!</v>
      </c>
      <c r="J32" s="113">
        <f t="shared" si="7"/>
        <v>0</v>
      </c>
      <c r="K32" s="113">
        <f t="shared" si="7"/>
        <v>0</v>
      </c>
      <c r="L32" s="113">
        <f t="shared" si="7"/>
        <v>0</v>
      </c>
      <c r="M32" s="113">
        <f t="shared" si="7"/>
        <v>0</v>
      </c>
    </row>
    <row r="33" spans="1:13" ht="31.5" x14ac:dyDescent="0.25">
      <c r="A33" s="85">
        <v>2</v>
      </c>
      <c r="B33" s="85">
        <v>1</v>
      </c>
      <c r="C33" s="85">
        <v>2</v>
      </c>
      <c r="D33" s="85">
        <v>2</v>
      </c>
      <c r="E33" s="85">
        <v>2</v>
      </c>
      <c r="F33" s="104" t="s">
        <v>28</v>
      </c>
      <c r="G33" s="114"/>
      <c r="H33" s="96">
        <v>0</v>
      </c>
      <c r="I33" s="6">
        <v>0</v>
      </c>
      <c r="J33" s="96">
        <v>0</v>
      </c>
      <c r="K33" s="96">
        <v>0</v>
      </c>
      <c r="L33" s="96"/>
      <c r="M33" s="96">
        <f>+H33+J33+K33+L33</f>
        <v>0</v>
      </c>
    </row>
    <row r="34" spans="1:13" ht="15.75" x14ac:dyDescent="0.25">
      <c r="A34" s="85">
        <v>2</v>
      </c>
      <c r="B34" s="85">
        <v>1</v>
      </c>
      <c r="C34" s="85">
        <v>2</v>
      </c>
      <c r="D34" s="85">
        <v>2</v>
      </c>
      <c r="E34" s="85">
        <v>4</v>
      </c>
      <c r="F34" s="106" t="s">
        <v>29</v>
      </c>
      <c r="G34" s="108">
        <v>0</v>
      </c>
      <c r="H34" s="110">
        <v>0</v>
      </c>
      <c r="I34" s="110">
        <v>0</v>
      </c>
      <c r="J34" s="110">
        <v>0</v>
      </c>
      <c r="K34" s="110">
        <v>0</v>
      </c>
      <c r="L34" s="110"/>
      <c r="M34" s="96">
        <f>+H34+J34+K34+L34</f>
        <v>0</v>
      </c>
    </row>
    <row r="35" spans="1:13" ht="15.75" x14ac:dyDescent="0.25">
      <c r="A35" s="85">
        <v>2</v>
      </c>
      <c r="B35" s="85">
        <v>1</v>
      </c>
      <c r="C35" s="85">
        <v>2</v>
      </c>
      <c r="D35" s="85">
        <v>2</v>
      </c>
      <c r="E35" s="85">
        <v>15</v>
      </c>
      <c r="F35" s="106" t="s">
        <v>30</v>
      </c>
      <c r="G35" s="108">
        <v>1463997</v>
      </c>
      <c r="H35" s="110"/>
      <c r="I35" s="12" t="e">
        <f>+G35-#REF!</f>
        <v>#REF!</v>
      </c>
      <c r="J35" s="110"/>
      <c r="K35" s="110"/>
      <c r="L35" s="110"/>
      <c r="M35" s="96">
        <f>+H35+J35+K35+L35</f>
        <v>0</v>
      </c>
    </row>
    <row r="36" spans="1:13" ht="15.75" x14ac:dyDescent="0.25">
      <c r="A36" s="85"/>
      <c r="B36" s="85"/>
      <c r="C36" s="92"/>
      <c r="D36" s="85"/>
      <c r="E36" s="85"/>
      <c r="F36" s="106"/>
      <c r="G36" s="108"/>
      <c r="H36" s="110"/>
      <c r="I36" s="12"/>
      <c r="J36" s="110"/>
      <c r="K36" s="110"/>
      <c r="L36" s="110"/>
      <c r="M36" s="110"/>
    </row>
    <row r="37" spans="1:13" ht="15.75" x14ac:dyDescent="0.25">
      <c r="A37" s="85"/>
      <c r="B37" s="85"/>
      <c r="C37" s="92"/>
      <c r="D37" s="85"/>
      <c r="E37" s="85"/>
      <c r="F37" s="106"/>
      <c r="G37" s="108"/>
      <c r="H37" s="110"/>
      <c r="I37" s="12"/>
      <c r="J37" s="110"/>
      <c r="K37" s="110"/>
      <c r="L37" s="110"/>
      <c r="M37" s="110"/>
    </row>
    <row r="38" spans="1:13" ht="16.5" thickBot="1" x14ac:dyDescent="0.3">
      <c r="A38" s="85">
        <v>2</v>
      </c>
      <c r="B38" s="85">
        <v>1</v>
      </c>
      <c r="C38" s="92">
        <v>3</v>
      </c>
      <c r="D38" s="85"/>
      <c r="E38" s="85"/>
      <c r="F38" s="104" t="s">
        <v>31</v>
      </c>
      <c r="G38" s="108"/>
      <c r="H38" s="110"/>
      <c r="I38" s="12"/>
      <c r="J38" s="110"/>
      <c r="K38" s="110"/>
      <c r="L38" s="110"/>
      <c r="M38" s="110"/>
    </row>
    <row r="39" spans="1:13" ht="16.5" thickBot="1" x14ac:dyDescent="0.3">
      <c r="A39" s="85">
        <v>2</v>
      </c>
      <c r="B39" s="85">
        <v>1</v>
      </c>
      <c r="C39" s="92">
        <v>3</v>
      </c>
      <c r="D39" s="85">
        <v>1</v>
      </c>
      <c r="E39" s="93"/>
      <c r="F39" s="104" t="s">
        <v>32</v>
      </c>
      <c r="G39" s="97">
        <f t="shared" ref="G39:M39" si="8">G40+G41</f>
        <v>0</v>
      </c>
      <c r="H39" s="98">
        <f t="shared" si="8"/>
        <v>0</v>
      </c>
      <c r="I39" s="16">
        <f t="shared" si="8"/>
        <v>0</v>
      </c>
      <c r="J39" s="98">
        <f t="shared" si="8"/>
        <v>0</v>
      </c>
      <c r="K39" s="98">
        <f t="shared" si="8"/>
        <v>0</v>
      </c>
      <c r="L39" s="98">
        <f t="shared" si="8"/>
        <v>0</v>
      </c>
      <c r="M39" s="98">
        <f t="shared" si="8"/>
        <v>0</v>
      </c>
    </row>
    <row r="40" spans="1:13" ht="15.75" x14ac:dyDescent="0.25">
      <c r="A40" s="85">
        <v>2</v>
      </c>
      <c r="B40" s="85">
        <v>1</v>
      </c>
      <c r="C40" s="92">
        <v>3</v>
      </c>
      <c r="D40" s="85">
        <v>1</v>
      </c>
      <c r="E40" s="85">
        <v>1</v>
      </c>
      <c r="F40" s="106" t="s">
        <v>33</v>
      </c>
      <c r="G40" s="107"/>
      <c r="H40" s="110">
        <f t="shared" ref="H40:K41" si="9">G40*12</f>
        <v>0</v>
      </c>
      <c r="I40" s="110">
        <f t="shared" si="9"/>
        <v>0</v>
      </c>
      <c r="J40" s="110">
        <f t="shared" si="9"/>
        <v>0</v>
      </c>
      <c r="K40" s="110">
        <f t="shared" si="9"/>
        <v>0</v>
      </c>
      <c r="L40" s="110"/>
      <c r="M40" s="110">
        <f>+H40+J40+K40+L40</f>
        <v>0</v>
      </c>
    </row>
    <row r="41" spans="1:13" ht="15.75" x14ac:dyDescent="0.25">
      <c r="A41" s="85">
        <v>2</v>
      </c>
      <c r="B41" s="85">
        <v>1</v>
      </c>
      <c r="C41" s="92">
        <v>3</v>
      </c>
      <c r="D41" s="85">
        <v>1</v>
      </c>
      <c r="E41" s="85">
        <v>2</v>
      </c>
      <c r="F41" s="106" t="s">
        <v>34</v>
      </c>
      <c r="G41" s="108"/>
      <c r="H41" s="110">
        <f t="shared" si="9"/>
        <v>0</v>
      </c>
      <c r="I41" s="110">
        <f t="shared" si="9"/>
        <v>0</v>
      </c>
      <c r="J41" s="110">
        <f t="shared" si="9"/>
        <v>0</v>
      </c>
      <c r="K41" s="110">
        <f t="shared" si="9"/>
        <v>0</v>
      </c>
      <c r="L41" s="110"/>
      <c r="M41" s="110">
        <f>+H41+J41+K41+L41</f>
        <v>0</v>
      </c>
    </row>
    <row r="42" spans="1:13" s="17" customFormat="1" ht="15.75" x14ac:dyDescent="0.25">
      <c r="A42" s="85"/>
      <c r="B42" s="85"/>
      <c r="C42" s="92"/>
      <c r="D42" s="85"/>
      <c r="E42" s="85"/>
      <c r="F42" s="106"/>
      <c r="G42" s="108"/>
      <c r="H42" s="110"/>
      <c r="I42" s="12"/>
      <c r="J42" s="110"/>
      <c r="K42" s="110"/>
      <c r="L42" s="110"/>
      <c r="M42" s="110"/>
    </row>
    <row r="43" spans="1:13" ht="32.25" thickBot="1" x14ac:dyDescent="0.3">
      <c r="A43" s="85">
        <v>2</v>
      </c>
      <c r="B43" s="115">
        <v>1</v>
      </c>
      <c r="C43" s="116">
        <v>5</v>
      </c>
      <c r="D43" s="93"/>
      <c r="E43" s="93"/>
      <c r="F43" s="104" t="s">
        <v>35</v>
      </c>
      <c r="G43" s="95">
        <f t="shared" ref="G43:M43" si="10">SUM(G44:G46)</f>
        <v>2506879</v>
      </c>
      <c r="H43" s="96">
        <f t="shared" si="10"/>
        <v>206315.72999999998</v>
      </c>
      <c r="I43" s="6" t="e">
        <f t="shared" si="10"/>
        <v>#REF!</v>
      </c>
      <c r="J43" s="96">
        <f t="shared" si="10"/>
        <v>208973.74</v>
      </c>
      <c r="K43" s="96">
        <f t="shared" si="10"/>
        <v>208973.74</v>
      </c>
      <c r="L43" s="96">
        <f t="shared" si="10"/>
        <v>202912.02100000001</v>
      </c>
      <c r="M43" s="96">
        <f t="shared" si="10"/>
        <v>827175.23100000003</v>
      </c>
    </row>
    <row r="44" spans="1:13" ht="15.75" x14ac:dyDescent="0.25">
      <c r="A44" s="85">
        <v>2</v>
      </c>
      <c r="B44" s="85">
        <v>1</v>
      </c>
      <c r="C44" s="92">
        <v>5</v>
      </c>
      <c r="D44" s="85">
        <v>1</v>
      </c>
      <c r="E44" s="85"/>
      <c r="F44" s="99" t="s">
        <v>36</v>
      </c>
      <c r="G44" s="107">
        <v>1128795</v>
      </c>
      <c r="H44" s="109">
        <v>92444.4</v>
      </c>
      <c r="I44" s="13" t="e">
        <f>+G44-#REF!</f>
        <v>#REF!</v>
      </c>
      <c r="J44" s="109">
        <v>94075.8</v>
      </c>
      <c r="K44" s="109">
        <v>94075.8</v>
      </c>
      <c r="L44" s="109">
        <f>94075.801-6061.72</f>
        <v>88014.081000000006</v>
      </c>
      <c r="M44" s="109">
        <f>+H44+J44+K44+L44</f>
        <v>368610.08100000001</v>
      </c>
    </row>
    <row r="45" spans="1:13" ht="15.75" x14ac:dyDescent="0.25">
      <c r="A45" s="85">
        <v>2</v>
      </c>
      <c r="B45" s="85">
        <v>1</v>
      </c>
      <c r="C45" s="92">
        <v>5</v>
      </c>
      <c r="D45" s="85">
        <v>2</v>
      </c>
      <c r="E45" s="85"/>
      <c r="F45" s="99" t="s">
        <v>37</v>
      </c>
      <c r="G45" s="108">
        <v>1247325</v>
      </c>
      <c r="H45" s="110">
        <v>103292.95</v>
      </c>
      <c r="I45" s="12" t="e">
        <f>+G45-#REF!</f>
        <v>#REF!</v>
      </c>
      <c r="J45" s="110">
        <v>104002.95</v>
      </c>
      <c r="K45" s="110">
        <v>104002.95</v>
      </c>
      <c r="L45" s="110">
        <v>104002.95</v>
      </c>
      <c r="M45" s="110">
        <f>+H45+J45+K45+L45</f>
        <v>415301.8</v>
      </c>
    </row>
    <row r="46" spans="1:13" ht="15.75" x14ac:dyDescent="0.25">
      <c r="A46" s="85">
        <v>2</v>
      </c>
      <c r="B46" s="85">
        <v>1</v>
      </c>
      <c r="C46" s="92">
        <v>5</v>
      </c>
      <c r="D46" s="85">
        <v>3</v>
      </c>
      <c r="E46" s="85"/>
      <c r="F46" s="106" t="s">
        <v>38</v>
      </c>
      <c r="G46" s="108">
        <v>130759</v>
      </c>
      <c r="H46" s="110">
        <v>10578.38</v>
      </c>
      <c r="I46" s="12" t="e">
        <f>+G46-#REF!</f>
        <v>#REF!</v>
      </c>
      <c r="J46" s="110">
        <v>10894.99</v>
      </c>
      <c r="K46" s="110">
        <v>10894.99</v>
      </c>
      <c r="L46" s="110">
        <v>10894.99</v>
      </c>
      <c r="M46" s="110">
        <f>+H46+J46+K46+L46</f>
        <v>43263.35</v>
      </c>
    </row>
    <row r="47" spans="1:13" ht="15.75" x14ac:dyDescent="0.25">
      <c r="A47" s="85"/>
      <c r="B47" s="85"/>
      <c r="C47" s="92"/>
      <c r="D47" s="85"/>
      <c r="E47" s="85"/>
      <c r="F47" s="106"/>
      <c r="G47" s="108"/>
      <c r="H47" s="110"/>
      <c r="I47" s="12"/>
      <c r="J47" s="110"/>
      <c r="K47" s="110"/>
      <c r="L47" s="110"/>
      <c r="M47" s="110"/>
    </row>
    <row r="48" spans="1:13" ht="16.5" thickBot="1" x14ac:dyDescent="0.3">
      <c r="A48" s="85">
        <v>2</v>
      </c>
      <c r="B48" s="85">
        <v>2</v>
      </c>
      <c r="C48" s="92"/>
      <c r="D48" s="85"/>
      <c r="E48" s="93"/>
      <c r="F48" s="94" t="s">
        <v>39</v>
      </c>
      <c r="G48" s="95">
        <f t="shared" ref="G48:M48" si="11">G49+G57+G61+G65+G69+G83+G91+G78+G106</f>
        <v>18307031</v>
      </c>
      <c r="H48" s="105">
        <f t="shared" si="11"/>
        <v>1340446.24</v>
      </c>
      <c r="I48" s="10" t="e">
        <f t="shared" si="11"/>
        <v>#REF!</v>
      </c>
      <c r="J48" s="105">
        <f t="shared" si="11"/>
        <v>1520971.4000000001</v>
      </c>
      <c r="K48" s="105">
        <f t="shared" si="11"/>
        <v>1562030.84</v>
      </c>
      <c r="L48" s="105">
        <f t="shared" si="11"/>
        <v>2163287.7000000002</v>
      </c>
      <c r="M48" s="105">
        <f t="shared" si="11"/>
        <v>6586736.1799999997</v>
      </c>
    </row>
    <row r="49" spans="1:13" ht="16.5" thickBot="1" x14ac:dyDescent="0.3">
      <c r="A49" s="85">
        <v>2</v>
      </c>
      <c r="B49" s="85">
        <v>2</v>
      </c>
      <c r="C49" s="92">
        <v>1</v>
      </c>
      <c r="D49" s="85"/>
      <c r="E49" s="93"/>
      <c r="F49" s="94" t="s">
        <v>40</v>
      </c>
      <c r="G49" s="112">
        <f t="shared" ref="G49:M49" si="12">G50+G51+G52+G54</f>
        <v>1401915</v>
      </c>
      <c r="H49" s="96">
        <f t="shared" si="12"/>
        <v>122900.01999999999</v>
      </c>
      <c r="I49" s="6" t="e">
        <f t="shared" si="12"/>
        <v>#REF!</v>
      </c>
      <c r="J49" s="96">
        <f t="shared" si="12"/>
        <v>121985.62</v>
      </c>
      <c r="K49" s="96">
        <f t="shared" si="12"/>
        <v>120045.4</v>
      </c>
      <c r="L49" s="96">
        <f t="shared" si="12"/>
        <v>164988.94</v>
      </c>
      <c r="M49" s="96">
        <f t="shared" si="12"/>
        <v>529919.98</v>
      </c>
    </row>
    <row r="50" spans="1:13" ht="15.75" x14ac:dyDescent="0.25">
      <c r="A50" s="85">
        <v>2</v>
      </c>
      <c r="B50" s="85">
        <v>2</v>
      </c>
      <c r="C50" s="92">
        <v>1</v>
      </c>
      <c r="D50" s="85">
        <v>3</v>
      </c>
      <c r="E50" s="85"/>
      <c r="F50" s="99" t="s">
        <v>41</v>
      </c>
      <c r="G50" s="107">
        <v>336000</v>
      </c>
      <c r="H50" s="109">
        <f>47963.82+22207.42+2155</f>
        <v>72326.239999999991</v>
      </c>
      <c r="I50" s="13" t="e">
        <f>+G50-#REF!</f>
        <v>#REF!</v>
      </c>
      <c r="J50" s="109">
        <f>8785.14+2212.21+22518.17+31889</f>
        <v>65404.52</v>
      </c>
      <c r="K50" s="109">
        <f>31889+22264.93+2041</f>
        <v>56194.93</v>
      </c>
      <c r="L50" s="109">
        <f>22125.78+42779+2041</f>
        <v>66945.78</v>
      </c>
      <c r="M50" s="109">
        <f>+H50+J50+K50+L50</f>
        <v>260871.46999999997</v>
      </c>
    </row>
    <row r="51" spans="1:13" ht="15.75" x14ac:dyDescent="0.25">
      <c r="A51" s="85">
        <v>2</v>
      </c>
      <c r="B51" s="85">
        <v>2</v>
      </c>
      <c r="C51" s="92">
        <v>1</v>
      </c>
      <c r="D51" s="85">
        <v>4</v>
      </c>
      <c r="E51" s="85"/>
      <c r="F51" s="99" t="s">
        <v>42</v>
      </c>
      <c r="G51" s="108">
        <v>47822</v>
      </c>
      <c r="H51" s="110"/>
      <c r="I51" s="12"/>
      <c r="J51" s="110"/>
      <c r="K51" s="110"/>
      <c r="L51" s="110"/>
      <c r="M51" s="110"/>
    </row>
    <row r="52" spans="1:13" ht="15.75" x14ac:dyDescent="0.25">
      <c r="A52" s="85">
        <v>2</v>
      </c>
      <c r="B52" s="85">
        <v>2</v>
      </c>
      <c r="C52" s="92">
        <v>1</v>
      </c>
      <c r="D52" s="85">
        <v>5</v>
      </c>
      <c r="E52" s="85"/>
      <c r="F52" s="99" t="s">
        <v>43</v>
      </c>
      <c r="G52" s="108">
        <v>346093</v>
      </c>
      <c r="H52" s="110"/>
      <c r="I52" s="12" t="e">
        <f>+G52-#REF!</f>
        <v>#REF!</v>
      </c>
      <c r="J52" s="110"/>
      <c r="K52" s="110">
        <v>9289.85</v>
      </c>
      <c r="L52" s="110">
        <v>40068.33</v>
      </c>
      <c r="M52" s="110">
        <f>+H52+J52+K52+L52</f>
        <v>49358.18</v>
      </c>
    </row>
    <row r="53" spans="1:13" ht="15.75" x14ac:dyDescent="0.25">
      <c r="A53" s="85"/>
      <c r="B53" s="85"/>
      <c r="C53" s="92"/>
      <c r="D53" s="85"/>
      <c r="E53" s="85"/>
      <c r="F53" s="99"/>
      <c r="G53" s="108"/>
      <c r="H53" s="110"/>
      <c r="I53" s="12"/>
      <c r="J53" s="110"/>
      <c r="K53" s="110"/>
      <c r="L53" s="110"/>
      <c r="M53" s="110"/>
    </row>
    <row r="54" spans="1:13" ht="16.5" thickBot="1" x14ac:dyDescent="0.3">
      <c r="A54" s="85">
        <v>2</v>
      </c>
      <c r="B54" s="85">
        <v>2</v>
      </c>
      <c r="C54" s="92">
        <v>1</v>
      </c>
      <c r="D54" s="85">
        <v>6</v>
      </c>
      <c r="E54" s="85"/>
      <c r="F54" s="104" t="s">
        <v>44</v>
      </c>
      <c r="G54" s="95">
        <f t="shared" ref="G54:L54" si="13">G55</f>
        <v>672000</v>
      </c>
      <c r="H54" s="117">
        <f t="shared" si="13"/>
        <v>50573.78</v>
      </c>
      <c r="I54" s="19" t="e">
        <f t="shared" si="13"/>
        <v>#REF!</v>
      </c>
      <c r="J54" s="117">
        <f t="shared" si="13"/>
        <v>56581.1</v>
      </c>
      <c r="K54" s="117">
        <f t="shared" si="13"/>
        <v>54560.62</v>
      </c>
      <c r="L54" s="117">
        <f t="shared" si="13"/>
        <v>57974.83</v>
      </c>
      <c r="M54" s="117">
        <f>M55</f>
        <v>219690.33000000002</v>
      </c>
    </row>
    <row r="55" spans="1:13" ht="15.75" x14ac:dyDescent="0.25">
      <c r="A55" s="85">
        <v>2</v>
      </c>
      <c r="B55" s="85">
        <v>2</v>
      </c>
      <c r="C55" s="92">
        <v>1</v>
      </c>
      <c r="D55" s="85">
        <v>6</v>
      </c>
      <c r="E55" s="85">
        <v>1</v>
      </c>
      <c r="F55" s="99" t="s">
        <v>45</v>
      </c>
      <c r="G55" s="107">
        <v>672000</v>
      </c>
      <c r="H55" s="110">
        <v>50573.78</v>
      </c>
      <c r="I55" s="13" t="e">
        <f>+G55-#REF!</f>
        <v>#REF!</v>
      </c>
      <c r="J55" s="110">
        <v>56581.1</v>
      </c>
      <c r="K55" s="110">
        <v>54560.62</v>
      </c>
      <c r="L55" s="110">
        <v>57974.83</v>
      </c>
      <c r="M55" s="110">
        <f>+H55+J55+K55+L55</f>
        <v>219690.33000000002</v>
      </c>
    </row>
    <row r="56" spans="1:13" ht="15.75" x14ac:dyDescent="0.25">
      <c r="A56" s="85"/>
      <c r="B56" s="85"/>
      <c r="C56" s="92"/>
      <c r="D56" s="85"/>
      <c r="E56" s="85"/>
      <c r="F56" s="99"/>
      <c r="G56" s="108"/>
      <c r="H56" s="110"/>
      <c r="I56" s="12"/>
      <c r="J56" s="110"/>
      <c r="K56" s="110"/>
      <c r="L56" s="110"/>
      <c r="M56" s="110"/>
    </row>
    <row r="57" spans="1:13" ht="32.25" thickBot="1" x14ac:dyDescent="0.3">
      <c r="A57" s="85">
        <v>2</v>
      </c>
      <c r="B57" s="85">
        <v>2</v>
      </c>
      <c r="C57" s="92">
        <v>2</v>
      </c>
      <c r="D57" s="85"/>
      <c r="E57" s="85"/>
      <c r="F57" s="104" t="s">
        <v>46</v>
      </c>
      <c r="G57" s="95">
        <f>SUM(G58:G59)</f>
        <v>175500</v>
      </c>
      <c r="H57" s="96">
        <f t="shared" ref="H57:M57" si="14">H58+H59</f>
        <v>0</v>
      </c>
      <c r="I57" s="20" t="e">
        <f t="shared" si="14"/>
        <v>#REF!</v>
      </c>
      <c r="J57" s="96">
        <f t="shared" si="14"/>
        <v>3325</v>
      </c>
      <c r="K57" s="96">
        <f t="shared" si="14"/>
        <v>7450</v>
      </c>
      <c r="L57" s="96">
        <f t="shared" si="14"/>
        <v>4760</v>
      </c>
      <c r="M57" s="96">
        <f t="shared" si="14"/>
        <v>15535</v>
      </c>
    </row>
    <row r="58" spans="1:13" ht="15.75" x14ac:dyDescent="0.25">
      <c r="A58" s="85">
        <v>2</v>
      </c>
      <c r="B58" s="85">
        <v>2</v>
      </c>
      <c r="C58" s="92">
        <v>2</v>
      </c>
      <c r="D58" s="85">
        <v>1</v>
      </c>
      <c r="E58" s="85"/>
      <c r="F58" s="106" t="s">
        <v>47</v>
      </c>
      <c r="G58" s="107">
        <v>175500</v>
      </c>
      <c r="H58" s="109"/>
      <c r="I58" s="12" t="e">
        <f>+G58-#REF!</f>
        <v>#REF!</v>
      </c>
      <c r="J58" s="109">
        <v>3100</v>
      </c>
      <c r="K58" s="109">
        <v>3450</v>
      </c>
      <c r="L58" s="109">
        <v>0</v>
      </c>
      <c r="M58" s="109">
        <f>+H58+J58+K58+L58</f>
        <v>6550</v>
      </c>
    </row>
    <row r="59" spans="1:13" ht="15.75" x14ac:dyDescent="0.25">
      <c r="A59" s="85">
        <v>2</v>
      </c>
      <c r="B59" s="85">
        <v>2</v>
      </c>
      <c r="C59" s="92">
        <v>2</v>
      </c>
      <c r="D59" s="85">
        <v>2</v>
      </c>
      <c r="E59" s="85"/>
      <c r="F59" s="106" t="s">
        <v>48</v>
      </c>
      <c r="G59" s="108"/>
      <c r="H59" s="110"/>
      <c r="I59" s="12" t="e">
        <f>+G59-#REF!</f>
        <v>#REF!</v>
      </c>
      <c r="J59" s="110">
        <v>225</v>
      </c>
      <c r="K59" s="110">
        <v>4000</v>
      </c>
      <c r="L59" s="110">
        <v>4760</v>
      </c>
      <c r="M59" s="110">
        <f>+H59+J59+K59+L59</f>
        <v>8985</v>
      </c>
    </row>
    <row r="60" spans="1:13" ht="15.75" x14ac:dyDescent="0.25">
      <c r="A60" s="85"/>
      <c r="B60" s="85"/>
      <c r="C60" s="92"/>
      <c r="D60" s="85"/>
      <c r="E60" s="85"/>
      <c r="F60" s="99"/>
      <c r="G60" s="108"/>
      <c r="H60" s="110"/>
      <c r="I60" s="12"/>
      <c r="J60" s="110"/>
      <c r="K60" s="110"/>
      <c r="L60" s="110"/>
      <c r="M60" s="110"/>
    </row>
    <row r="61" spans="1:13" ht="16.5" thickBot="1" x14ac:dyDescent="0.3">
      <c r="A61" s="85">
        <v>2</v>
      </c>
      <c r="B61" s="85">
        <v>2</v>
      </c>
      <c r="C61" s="92">
        <v>3</v>
      </c>
      <c r="D61" s="85"/>
      <c r="E61" s="85"/>
      <c r="F61" s="104" t="s">
        <v>49</v>
      </c>
      <c r="G61" s="95">
        <f t="shared" ref="G61:M61" si="15">G62+G63</f>
        <v>550000</v>
      </c>
      <c r="H61" s="105">
        <f t="shared" si="15"/>
        <v>0</v>
      </c>
      <c r="I61" s="10" t="e">
        <f t="shared" si="15"/>
        <v>#REF!</v>
      </c>
      <c r="J61" s="105">
        <f t="shared" si="15"/>
        <v>0</v>
      </c>
      <c r="K61" s="105">
        <f t="shared" si="15"/>
        <v>1600</v>
      </c>
      <c r="L61" s="105">
        <f t="shared" si="15"/>
        <v>90183.12</v>
      </c>
      <c r="M61" s="105">
        <f t="shared" si="15"/>
        <v>91783.12</v>
      </c>
    </row>
    <row r="62" spans="1:13" ht="15.75" x14ac:dyDescent="0.25">
      <c r="A62" s="85">
        <v>2</v>
      </c>
      <c r="B62" s="85">
        <v>2</v>
      </c>
      <c r="C62" s="92">
        <v>3</v>
      </c>
      <c r="D62" s="85">
        <v>1</v>
      </c>
      <c r="E62" s="119"/>
      <c r="F62" s="106" t="s">
        <v>50</v>
      </c>
      <c r="G62" s="100"/>
      <c r="H62" s="101"/>
      <c r="I62" s="8" t="e">
        <f>+G62-#REF!</f>
        <v>#REF!</v>
      </c>
      <c r="J62" s="101"/>
      <c r="K62" s="101">
        <f>1000+300+300</f>
        <v>1600</v>
      </c>
      <c r="L62" s="101">
        <f>2000+500+1000+1000</f>
        <v>4500</v>
      </c>
      <c r="M62" s="109">
        <f>+H62+J62+K62+L62</f>
        <v>6100</v>
      </c>
    </row>
    <row r="63" spans="1:13" ht="15.75" x14ac:dyDescent="0.25">
      <c r="A63" s="85">
        <v>2</v>
      </c>
      <c r="B63" s="85">
        <v>2</v>
      </c>
      <c r="C63" s="92">
        <v>3</v>
      </c>
      <c r="D63" s="85">
        <v>2</v>
      </c>
      <c r="E63" s="119"/>
      <c r="F63" s="106" t="s">
        <v>51</v>
      </c>
      <c r="G63" s="108">
        <v>550000</v>
      </c>
      <c r="H63" s="110"/>
      <c r="I63" s="12" t="e">
        <f>+G63-#REF!</f>
        <v>#REF!</v>
      </c>
      <c r="J63" s="110"/>
      <c r="K63" s="110"/>
      <c r="L63" s="110">
        <v>85683.12</v>
      </c>
      <c r="M63" s="110">
        <f>+H63+J63+K63+L63</f>
        <v>85683.12</v>
      </c>
    </row>
    <row r="64" spans="1:13" ht="15.75" x14ac:dyDescent="0.25">
      <c r="A64" s="85"/>
      <c r="B64" s="85"/>
      <c r="C64" s="92"/>
      <c r="D64" s="85"/>
      <c r="E64" s="85"/>
      <c r="F64" s="106"/>
      <c r="G64" s="108"/>
      <c r="H64" s="110"/>
      <c r="I64" s="12" t="e">
        <f>+G64-#REF!</f>
        <v>#REF!</v>
      </c>
      <c r="J64" s="110"/>
      <c r="K64" s="110"/>
      <c r="L64" s="110"/>
      <c r="M64" s="110"/>
    </row>
    <row r="65" spans="1:13" ht="16.5" thickBot="1" x14ac:dyDescent="0.3">
      <c r="A65" s="85">
        <v>2</v>
      </c>
      <c r="B65" s="85">
        <v>2</v>
      </c>
      <c r="C65" s="92">
        <v>4</v>
      </c>
      <c r="D65" s="85"/>
      <c r="E65" s="85"/>
      <c r="F65" s="104" t="s">
        <v>52</v>
      </c>
      <c r="G65" s="95">
        <f>G66+G67</f>
        <v>280000</v>
      </c>
      <c r="H65" s="105">
        <f>H66+H67</f>
        <v>6910.99</v>
      </c>
      <c r="I65" s="10" t="e">
        <f>+G65-#REF!</f>
        <v>#REF!</v>
      </c>
      <c r="J65" s="105">
        <f>J66+J67</f>
        <v>1600</v>
      </c>
      <c r="K65" s="105">
        <f>K66+K67</f>
        <v>5688.34</v>
      </c>
      <c r="L65" s="105">
        <f>L66+L67</f>
        <v>17923.03</v>
      </c>
      <c r="M65" s="105">
        <f>M66+M67</f>
        <v>32122.36</v>
      </c>
    </row>
    <row r="66" spans="1:13" ht="15.75" x14ac:dyDescent="0.25">
      <c r="A66" s="85">
        <v>2</v>
      </c>
      <c r="B66" s="85">
        <v>2</v>
      </c>
      <c r="C66" s="92">
        <v>4</v>
      </c>
      <c r="D66" s="85">
        <v>1</v>
      </c>
      <c r="E66" s="85"/>
      <c r="F66" s="106" t="s">
        <v>53</v>
      </c>
      <c r="G66" s="107">
        <v>280000</v>
      </c>
      <c r="H66" s="110">
        <f>780+6130.99</f>
        <v>6910.99</v>
      </c>
      <c r="I66" s="12" t="e">
        <f>+G66-#REF!</f>
        <v>#REF!</v>
      </c>
      <c r="J66" s="110">
        <f>200+100+100+200+300+200+200+300</f>
        <v>1600</v>
      </c>
      <c r="K66" s="110">
        <f>4338.34+100+100+100+100+100+100+200+50+100+100+100+100+100</f>
        <v>5688.34</v>
      </c>
      <c r="L66" s="110">
        <f>10037.83+100+100+100+7585.2</f>
        <v>17923.03</v>
      </c>
      <c r="M66" s="110">
        <f>+H66+J66+K66+L66</f>
        <v>32122.36</v>
      </c>
    </row>
    <row r="67" spans="1:13" ht="15.75" x14ac:dyDescent="0.25">
      <c r="A67" s="85">
        <v>2</v>
      </c>
      <c r="B67" s="85">
        <v>2</v>
      </c>
      <c r="C67" s="92">
        <v>4</v>
      </c>
      <c r="D67" s="85">
        <v>3</v>
      </c>
      <c r="E67" s="85"/>
      <c r="F67" s="106" t="s">
        <v>54</v>
      </c>
      <c r="G67" s="108"/>
      <c r="H67" s="110">
        <v>0</v>
      </c>
      <c r="I67" s="12" t="e">
        <f>+G67-#REF!</f>
        <v>#REF!</v>
      </c>
      <c r="J67" s="110">
        <v>0</v>
      </c>
      <c r="K67" s="110"/>
      <c r="L67" s="110"/>
      <c r="M67" s="110">
        <f>+H67+J67+K67</f>
        <v>0</v>
      </c>
    </row>
    <row r="68" spans="1:13" ht="15.75" x14ac:dyDescent="0.25">
      <c r="A68" s="85"/>
      <c r="B68" s="85"/>
      <c r="C68" s="92"/>
      <c r="D68" s="85"/>
      <c r="E68" s="85"/>
      <c r="F68" s="106"/>
      <c r="G68" s="108"/>
      <c r="H68" s="110"/>
      <c r="I68" s="12" t="e">
        <f>+G68-#REF!</f>
        <v>#REF!</v>
      </c>
      <c r="J68" s="110"/>
      <c r="K68" s="110"/>
      <c r="L68" s="110"/>
      <c r="M68" s="110"/>
    </row>
    <row r="69" spans="1:13" ht="16.5" thickBot="1" x14ac:dyDescent="0.3">
      <c r="A69" s="85">
        <v>2</v>
      </c>
      <c r="B69" s="85">
        <v>2</v>
      </c>
      <c r="C69" s="92">
        <v>5</v>
      </c>
      <c r="D69" s="85"/>
      <c r="E69" s="85"/>
      <c r="F69" s="104" t="s">
        <v>55</v>
      </c>
      <c r="G69" s="95">
        <f>G70+G75</f>
        <v>10015311</v>
      </c>
      <c r="H69" s="96">
        <f t="shared" ref="H69:M69" si="16">H72+H70</f>
        <v>792285.26</v>
      </c>
      <c r="I69" s="6" t="e">
        <f t="shared" si="16"/>
        <v>#REF!</v>
      </c>
      <c r="J69" s="96">
        <f t="shared" si="16"/>
        <v>801242.44</v>
      </c>
      <c r="K69" s="96">
        <f t="shared" si="16"/>
        <v>801396.64</v>
      </c>
      <c r="L69" s="96">
        <f t="shared" si="16"/>
        <v>806109.24</v>
      </c>
      <c r="M69" s="96">
        <f t="shared" si="16"/>
        <v>3201033.58</v>
      </c>
    </row>
    <row r="70" spans="1:13" ht="15.75" x14ac:dyDescent="0.25">
      <c r="A70" s="85">
        <v>2</v>
      </c>
      <c r="B70" s="85">
        <v>2</v>
      </c>
      <c r="C70" s="92">
        <v>5</v>
      </c>
      <c r="D70" s="85">
        <v>1</v>
      </c>
      <c r="E70" s="85"/>
      <c r="F70" s="99" t="s">
        <v>56</v>
      </c>
      <c r="G70" s="107">
        <v>9685383</v>
      </c>
      <c r="H70" s="109">
        <f>17098.97+766926.29</f>
        <v>784025.26</v>
      </c>
      <c r="I70" s="13" t="e">
        <f>+G70-#REF!</f>
        <v>#REF!</v>
      </c>
      <c r="J70" s="109">
        <f>17294.32+775688.12</f>
        <v>792982.44</v>
      </c>
      <c r="K70" s="109">
        <f>17297.68+775838.96</f>
        <v>793136.64000000001</v>
      </c>
      <c r="L70" s="109">
        <f>17400.46+780448.78</f>
        <v>797849.24</v>
      </c>
      <c r="M70" s="109">
        <f>+H70+J70+K70+L70</f>
        <v>3167993.58</v>
      </c>
    </row>
    <row r="71" spans="1:13" ht="15.75" x14ac:dyDescent="0.25">
      <c r="A71" s="85"/>
      <c r="B71" s="85"/>
      <c r="C71" s="92"/>
      <c r="D71" s="85"/>
      <c r="E71" s="119"/>
      <c r="F71" s="106"/>
      <c r="G71" s="108"/>
      <c r="H71" s="110"/>
      <c r="I71" s="12"/>
      <c r="J71" s="110"/>
      <c r="K71" s="110"/>
      <c r="L71" s="110"/>
      <c r="M71" s="110"/>
    </row>
    <row r="72" spans="1:13" ht="16.5" thickBot="1" x14ac:dyDescent="0.3">
      <c r="A72" s="85">
        <v>2</v>
      </c>
      <c r="B72" s="85">
        <v>2</v>
      </c>
      <c r="C72" s="92">
        <v>5</v>
      </c>
      <c r="D72" s="85">
        <v>3</v>
      </c>
      <c r="E72" s="93"/>
      <c r="F72" s="104" t="s">
        <v>57</v>
      </c>
      <c r="G72" s="95">
        <f t="shared" ref="G72:M72" si="17">G73+G74+G75</f>
        <v>329928</v>
      </c>
      <c r="H72" s="105">
        <f t="shared" si="17"/>
        <v>8260</v>
      </c>
      <c r="I72" s="10" t="e">
        <f t="shared" si="17"/>
        <v>#REF!</v>
      </c>
      <c r="J72" s="105">
        <f t="shared" si="17"/>
        <v>8260</v>
      </c>
      <c r="K72" s="105">
        <f t="shared" si="17"/>
        <v>8260</v>
      </c>
      <c r="L72" s="105">
        <f t="shared" si="17"/>
        <v>8260</v>
      </c>
      <c r="M72" s="105">
        <f t="shared" si="17"/>
        <v>33040</v>
      </c>
    </row>
    <row r="73" spans="1:13" ht="15.75" x14ac:dyDescent="0.25">
      <c r="A73" s="85">
        <v>2</v>
      </c>
      <c r="B73" s="85">
        <v>2</v>
      </c>
      <c r="C73" s="92">
        <v>5</v>
      </c>
      <c r="D73" s="85">
        <v>3</v>
      </c>
      <c r="E73" s="85">
        <v>2</v>
      </c>
      <c r="F73" s="99" t="s">
        <v>58</v>
      </c>
      <c r="G73" s="107"/>
      <c r="H73" s="110">
        <v>0</v>
      </c>
      <c r="I73" s="12" t="e">
        <f>+G73-#REF!</f>
        <v>#REF!</v>
      </c>
      <c r="J73" s="110">
        <v>0</v>
      </c>
      <c r="K73" s="110"/>
      <c r="L73" s="110"/>
      <c r="M73" s="110">
        <f>+H73+J73+K73+L73</f>
        <v>0</v>
      </c>
    </row>
    <row r="74" spans="1:13" ht="15.75" x14ac:dyDescent="0.25">
      <c r="A74" s="85">
        <v>2</v>
      </c>
      <c r="B74" s="85">
        <v>2</v>
      </c>
      <c r="C74" s="92">
        <v>5</v>
      </c>
      <c r="D74" s="85">
        <v>3</v>
      </c>
      <c r="E74" s="85">
        <v>3</v>
      </c>
      <c r="F74" s="99" t="s">
        <v>59</v>
      </c>
      <c r="G74" s="108"/>
      <c r="H74" s="110"/>
      <c r="I74" s="12" t="e">
        <f>+G74-#REF!</f>
        <v>#REF!</v>
      </c>
      <c r="J74" s="110"/>
      <c r="K74" s="110"/>
      <c r="L74" s="110"/>
      <c r="M74" s="110">
        <f>+H74+J74+K74+L74</f>
        <v>0</v>
      </c>
    </row>
    <row r="75" spans="1:13" ht="15.75" x14ac:dyDescent="0.25">
      <c r="A75" s="85">
        <v>2</v>
      </c>
      <c r="B75" s="85">
        <v>2</v>
      </c>
      <c r="C75" s="92">
        <v>5</v>
      </c>
      <c r="D75" s="85">
        <v>3</v>
      </c>
      <c r="E75" s="85">
        <v>4</v>
      </c>
      <c r="F75" s="99" t="s">
        <v>60</v>
      </c>
      <c r="G75" s="108">
        <v>329928</v>
      </c>
      <c r="H75" s="110">
        <v>8260</v>
      </c>
      <c r="I75" s="12" t="e">
        <f>+G75-#REF!</f>
        <v>#REF!</v>
      </c>
      <c r="J75" s="110">
        <v>8260</v>
      </c>
      <c r="K75" s="110">
        <v>8260</v>
      </c>
      <c r="L75" s="110">
        <v>8260</v>
      </c>
      <c r="M75" s="110">
        <f>+H75+J75+K75+L75</f>
        <v>33040</v>
      </c>
    </row>
    <row r="76" spans="1:13" ht="15.75" x14ac:dyDescent="0.25">
      <c r="A76" s="85"/>
      <c r="B76" s="85"/>
      <c r="C76" s="92"/>
      <c r="D76" s="85"/>
      <c r="E76" s="85"/>
      <c r="F76" s="99"/>
      <c r="G76" s="108"/>
      <c r="H76" s="110"/>
      <c r="I76" s="12"/>
      <c r="J76" s="110"/>
      <c r="K76" s="110"/>
      <c r="L76" s="110"/>
      <c r="M76" s="110"/>
    </row>
    <row r="77" spans="1:13" ht="16.5" thickBot="1" x14ac:dyDescent="0.3">
      <c r="A77" s="85"/>
      <c r="B77" s="85"/>
      <c r="C77" s="92"/>
      <c r="D77" s="85"/>
      <c r="E77" s="85"/>
      <c r="F77" s="99"/>
      <c r="G77" s="108"/>
      <c r="H77" s="110"/>
      <c r="I77" s="12"/>
      <c r="J77" s="110"/>
      <c r="K77" s="110"/>
      <c r="L77" s="110"/>
      <c r="M77" s="110"/>
    </row>
    <row r="78" spans="1:13" s="21" customFormat="1" ht="16.5" thickBot="1" x14ac:dyDescent="0.3">
      <c r="A78" s="85">
        <v>2</v>
      </c>
      <c r="B78" s="85">
        <v>2</v>
      </c>
      <c r="C78" s="92">
        <v>6</v>
      </c>
      <c r="D78" s="85"/>
      <c r="E78" s="85"/>
      <c r="F78" s="99" t="s">
        <v>61</v>
      </c>
      <c r="G78" s="112">
        <f t="shared" ref="G78:M78" si="18">G80+G79</f>
        <v>1434252</v>
      </c>
      <c r="H78" s="113">
        <f t="shared" si="18"/>
        <v>108478.82</v>
      </c>
      <c r="I78" s="113" t="e">
        <f t="shared" si="18"/>
        <v>#REF!</v>
      </c>
      <c r="J78" s="113">
        <f t="shared" si="18"/>
        <v>108478.82</v>
      </c>
      <c r="K78" s="113">
        <f t="shared" si="18"/>
        <v>191755.74</v>
      </c>
      <c r="L78" s="113">
        <f t="shared" si="18"/>
        <v>229933.34000000003</v>
      </c>
      <c r="M78" s="113">
        <f t="shared" si="18"/>
        <v>638646.72</v>
      </c>
    </row>
    <row r="79" spans="1:13" ht="16.5" thickBot="1" x14ac:dyDescent="0.3">
      <c r="A79" s="120">
        <v>2</v>
      </c>
      <c r="B79" s="120">
        <v>2</v>
      </c>
      <c r="C79" s="121">
        <v>6</v>
      </c>
      <c r="D79" s="120">
        <v>2</v>
      </c>
      <c r="E79" s="120">
        <v>1</v>
      </c>
      <c r="F79" s="122" t="s">
        <v>62</v>
      </c>
      <c r="G79" s="123">
        <v>125000</v>
      </c>
      <c r="H79" s="98"/>
      <c r="I79" s="16" t="e">
        <f>+G79-#REF!</f>
        <v>#REF!</v>
      </c>
      <c r="J79" s="98"/>
      <c r="K79" s="98"/>
      <c r="L79" s="98">
        <f>101556.1</f>
        <v>101556.1</v>
      </c>
      <c r="M79" s="181">
        <f>+H79+J79+K79+L79</f>
        <v>101556.1</v>
      </c>
    </row>
    <row r="80" spans="1:13" ht="15.75" x14ac:dyDescent="0.25">
      <c r="A80" s="85">
        <v>2</v>
      </c>
      <c r="B80" s="85">
        <v>2</v>
      </c>
      <c r="C80" s="92">
        <v>6</v>
      </c>
      <c r="D80" s="85">
        <v>3</v>
      </c>
      <c r="E80" s="85">
        <v>1</v>
      </c>
      <c r="F80" s="99" t="s">
        <v>63</v>
      </c>
      <c r="G80" s="108">
        <v>1309252</v>
      </c>
      <c r="H80" s="110">
        <v>108478.82</v>
      </c>
      <c r="I80" s="12" t="e">
        <f>+G80-#REF!</f>
        <v>#REF!</v>
      </c>
      <c r="J80" s="110">
        <v>108478.82</v>
      </c>
      <c r="K80" s="110">
        <f>113089.65+39242.96+23071.9+16351.23</f>
        <v>191755.74</v>
      </c>
      <c r="L80" s="110">
        <f>112025.61+16351.63</f>
        <v>128377.24</v>
      </c>
      <c r="M80" s="110">
        <f>+H80+J80+K80+L80</f>
        <v>537090.62</v>
      </c>
    </row>
    <row r="81" spans="1:13" ht="15.75" x14ac:dyDescent="0.25">
      <c r="A81" s="85"/>
      <c r="B81" s="85"/>
      <c r="C81" s="92"/>
      <c r="D81" s="85"/>
      <c r="E81" s="85"/>
      <c r="F81" s="99"/>
      <c r="G81" s="108"/>
      <c r="H81" s="110">
        <v>0</v>
      </c>
      <c r="I81" s="12">
        <v>0</v>
      </c>
      <c r="J81" s="110">
        <v>0</v>
      </c>
      <c r="K81" s="110"/>
      <c r="L81" s="110"/>
      <c r="M81" s="110">
        <f>+H81+J81+K81+L81</f>
        <v>0</v>
      </c>
    </row>
    <row r="82" spans="1:13" ht="15.75" x14ac:dyDescent="0.25">
      <c r="A82" s="85"/>
      <c r="B82" s="85"/>
      <c r="C82" s="92"/>
      <c r="D82" s="85"/>
      <c r="E82" s="85"/>
      <c r="F82" s="99"/>
      <c r="G82" s="108"/>
      <c r="H82" s="110"/>
      <c r="I82" s="12"/>
      <c r="J82" s="110"/>
      <c r="K82" s="110"/>
      <c r="L82" s="110"/>
      <c r="M82" s="110"/>
    </row>
    <row r="83" spans="1:13" ht="32.25" thickBot="1" x14ac:dyDescent="0.3">
      <c r="A83" s="85">
        <v>2</v>
      </c>
      <c r="B83" s="85">
        <v>2</v>
      </c>
      <c r="C83" s="92">
        <v>7</v>
      </c>
      <c r="D83" s="85"/>
      <c r="E83" s="93"/>
      <c r="F83" s="104" t="s">
        <v>64</v>
      </c>
      <c r="G83" s="125">
        <f>G84</f>
        <v>45117</v>
      </c>
      <c r="H83" s="96">
        <f t="shared" ref="H83:M83" si="19">SUM(H85:H89)</f>
        <v>19800.52</v>
      </c>
      <c r="I83" s="96" t="e">
        <f t="shared" si="19"/>
        <v>#REF!</v>
      </c>
      <c r="J83" s="96">
        <f t="shared" si="19"/>
        <v>650</v>
      </c>
      <c r="K83" s="96">
        <f t="shared" si="19"/>
        <v>0</v>
      </c>
      <c r="L83" s="96">
        <f t="shared" si="19"/>
        <v>4000</v>
      </c>
      <c r="M83" s="96">
        <f t="shared" si="19"/>
        <v>24450.52</v>
      </c>
    </row>
    <row r="84" spans="1:13" ht="16.5" thickBot="1" x14ac:dyDescent="0.3">
      <c r="A84" s="85">
        <v>2</v>
      </c>
      <c r="B84" s="85">
        <v>2</v>
      </c>
      <c r="C84" s="92">
        <v>7</v>
      </c>
      <c r="D84" s="85">
        <v>2</v>
      </c>
      <c r="E84" s="93"/>
      <c r="F84" s="104" t="s">
        <v>65</v>
      </c>
      <c r="G84" s="112">
        <f>SUM(G86:G89)</f>
        <v>45117</v>
      </c>
      <c r="H84" s="166">
        <f t="shared" ref="H84:M84" si="20">SUM(H85:H89)</f>
        <v>19800.52</v>
      </c>
      <c r="I84" s="166" t="e">
        <f t="shared" si="20"/>
        <v>#REF!</v>
      </c>
      <c r="J84" s="166">
        <f t="shared" si="20"/>
        <v>650</v>
      </c>
      <c r="K84" s="166">
        <f t="shared" si="20"/>
        <v>0</v>
      </c>
      <c r="L84" s="166">
        <f t="shared" si="20"/>
        <v>4000</v>
      </c>
      <c r="M84" s="166">
        <f t="shared" si="20"/>
        <v>24450.52</v>
      </c>
    </row>
    <row r="85" spans="1:13" ht="31.5" x14ac:dyDescent="0.25">
      <c r="A85" s="85">
        <v>2</v>
      </c>
      <c r="B85" s="85">
        <v>2</v>
      </c>
      <c r="C85" s="92">
        <v>7</v>
      </c>
      <c r="D85" s="85">
        <v>1</v>
      </c>
      <c r="E85" s="119">
        <v>2</v>
      </c>
      <c r="F85" s="126" t="s">
        <v>66</v>
      </c>
      <c r="G85" s="125"/>
      <c r="H85" s="167"/>
      <c r="I85" s="12" t="e">
        <f>+G85-#REF!</f>
        <v>#REF!</v>
      </c>
      <c r="J85" s="167"/>
      <c r="K85" s="167"/>
      <c r="L85" s="167">
        <f>2000+1500</f>
        <v>3500</v>
      </c>
      <c r="M85" s="167">
        <f>+H85+J85+K85+L85</f>
        <v>3500</v>
      </c>
    </row>
    <row r="86" spans="1:13" ht="31.5" x14ac:dyDescent="0.25">
      <c r="A86" s="85">
        <v>2</v>
      </c>
      <c r="B86" s="85">
        <v>2</v>
      </c>
      <c r="C86" s="92">
        <v>7</v>
      </c>
      <c r="D86" s="85">
        <v>2</v>
      </c>
      <c r="E86" s="119">
        <v>2</v>
      </c>
      <c r="F86" s="126" t="s">
        <v>67</v>
      </c>
      <c r="G86" s="108">
        <v>9117</v>
      </c>
      <c r="H86" s="110">
        <v>0</v>
      </c>
      <c r="I86" s="12" t="e">
        <f>+G86-#REF!</f>
        <v>#REF!</v>
      </c>
      <c r="J86" s="110">
        <v>0</v>
      </c>
      <c r="K86" s="110"/>
      <c r="L86" s="110"/>
      <c r="M86" s="167">
        <f>+H86+J86+K86+L86</f>
        <v>0</v>
      </c>
    </row>
    <row r="87" spans="1:13" ht="31.5" x14ac:dyDescent="0.25">
      <c r="A87" s="85">
        <v>2</v>
      </c>
      <c r="B87" s="85">
        <v>2</v>
      </c>
      <c r="C87" s="92">
        <v>7</v>
      </c>
      <c r="D87" s="85">
        <v>2</v>
      </c>
      <c r="E87" s="119">
        <v>3</v>
      </c>
      <c r="F87" s="126" t="s">
        <v>68</v>
      </c>
      <c r="G87" s="108"/>
      <c r="H87" s="110">
        <f>G87*12</f>
        <v>0</v>
      </c>
      <c r="I87" s="12" t="e">
        <f>+G87-#REF!</f>
        <v>#REF!</v>
      </c>
      <c r="J87" s="110"/>
      <c r="K87" s="110"/>
      <c r="L87" s="110"/>
      <c r="M87" s="167">
        <f>+H87+J87+K87+L87</f>
        <v>0</v>
      </c>
    </row>
    <row r="88" spans="1:13" ht="31.5" x14ac:dyDescent="0.25">
      <c r="A88" s="85">
        <v>2</v>
      </c>
      <c r="B88" s="85">
        <v>2</v>
      </c>
      <c r="C88" s="92">
        <v>7</v>
      </c>
      <c r="D88" s="85">
        <v>2</v>
      </c>
      <c r="E88" s="119">
        <v>4</v>
      </c>
      <c r="F88" s="126" t="s">
        <v>69</v>
      </c>
      <c r="G88" s="108">
        <v>24000</v>
      </c>
      <c r="H88" s="110"/>
      <c r="I88" s="12" t="e">
        <f>+G88-#REF!</f>
        <v>#REF!</v>
      </c>
      <c r="J88" s="110"/>
      <c r="K88" s="110"/>
      <c r="L88" s="110"/>
      <c r="M88" s="167">
        <f>+H88+J88+K88+L88</f>
        <v>0</v>
      </c>
    </row>
    <row r="89" spans="1:13" ht="31.5" x14ac:dyDescent="0.25">
      <c r="A89" s="85">
        <v>2</v>
      </c>
      <c r="B89" s="85">
        <v>2</v>
      </c>
      <c r="C89" s="92">
        <v>7</v>
      </c>
      <c r="D89" s="85">
        <v>2</v>
      </c>
      <c r="E89" s="119">
        <v>6</v>
      </c>
      <c r="F89" s="126" t="s">
        <v>70</v>
      </c>
      <c r="G89" s="108">
        <v>12000</v>
      </c>
      <c r="H89" s="110">
        <f>9670.1+9530.42+600</f>
        <v>19800.52</v>
      </c>
      <c r="I89" s="12" t="e">
        <f>+G89-#REF!</f>
        <v>#REF!</v>
      </c>
      <c r="J89" s="110">
        <v>650</v>
      </c>
      <c r="K89" s="110"/>
      <c r="L89" s="110">
        <v>500</v>
      </c>
      <c r="M89" s="167">
        <f>+H89+J89+K89+L89</f>
        <v>20950.52</v>
      </c>
    </row>
    <row r="90" spans="1:13" ht="15.75" x14ac:dyDescent="0.25">
      <c r="A90" s="85"/>
      <c r="B90" s="85"/>
      <c r="C90" s="92"/>
      <c r="D90" s="85"/>
      <c r="E90" s="119"/>
      <c r="F90" s="106"/>
      <c r="G90" s="108"/>
      <c r="H90" s="110"/>
      <c r="I90" s="12"/>
      <c r="J90" s="110"/>
      <c r="K90" s="110"/>
      <c r="L90" s="110"/>
      <c r="M90" s="110"/>
    </row>
    <row r="91" spans="1:13" ht="16.5" thickBot="1" x14ac:dyDescent="0.3">
      <c r="A91" s="85">
        <v>2</v>
      </c>
      <c r="B91" s="85">
        <v>2</v>
      </c>
      <c r="C91" s="92">
        <v>8</v>
      </c>
      <c r="D91" s="85"/>
      <c r="E91" s="93"/>
      <c r="F91" s="104" t="s">
        <v>71</v>
      </c>
      <c r="G91" s="125">
        <f>SUM(G92+G93)+G95+G99</f>
        <v>4392936</v>
      </c>
      <c r="H91" s="96">
        <f t="shared" ref="H91:M91" si="21">H92+H93+H95+H99</f>
        <v>256177.13999999998</v>
      </c>
      <c r="I91" s="6" t="e">
        <f t="shared" si="21"/>
        <v>#REF!</v>
      </c>
      <c r="J91" s="96">
        <f t="shared" si="21"/>
        <v>436592.42</v>
      </c>
      <c r="K91" s="96">
        <f t="shared" si="21"/>
        <v>418896.86999999994</v>
      </c>
      <c r="L91" s="96">
        <f t="shared" si="21"/>
        <v>742049.15</v>
      </c>
      <c r="M91" s="96">
        <f t="shared" si="21"/>
        <v>1853715.5799999998</v>
      </c>
    </row>
    <row r="92" spans="1:13" ht="15.75" x14ac:dyDescent="0.25">
      <c r="A92" s="85">
        <v>2</v>
      </c>
      <c r="B92" s="85">
        <v>2</v>
      </c>
      <c r="C92" s="92">
        <v>8</v>
      </c>
      <c r="D92" s="85">
        <v>2</v>
      </c>
      <c r="E92" s="119"/>
      <c r="F92" s="127" t="s">
        <v>72</v>
      </c>
      <c r="G92" s="107">
        <v>102000</v>
      </c>
      <c r="H92" s="109">
        <v>5155.28</v>
      </c>
      <c r="I92" s="13" t="e">
        <f>+G92-#REF!</f>
        <v>#REF!</v>
      </c>
      <c r="J92" s="109">
        <v>4982.54</v>
      </c>
      <c r="K92" s="109">
        <v>5146.79</v>
      </c>
      <c r="L92" s="109">
        <v>6349.16</v>
      </c>
      <c r="M92" s="109">
        <f>+H92+J92+K92+L92</f>
        <v>21633.77</v>
      </c>
    </row>
    <row r="93" spans="1:13" ht="15.75" x14ac:dyDescent="0.25">
      <c r="A93" s="85">
        <v>2</v>
      </c>
      <c r="B93" s="85">
        <v>2</v>
      </c>
      <c r="C93" s="92">
        <v>8</v>
      </c>
      <c r="D93" s="85">
        <v>4</v>
      </c>
      <c r="E93" s="85"/>
      <c r="F93" s="127" t="s">
        <v>73</v>
      </c>
      <c r="G93" s="108">
        <v>0</v>
      </c>
      <c r="H93" s="110">
        <v>0</v>
      </c>
      <c r="I93" s="12">
        <v>0</v>
      </c>
      <c r="J93" s="110">
        <v>0</v>
      </c>
      <c r="K93" s="110"/>
      <c r="L93" s="110">
        <v>11800</v>
      </c>
      <c r="M93" s="110">
        <f>+H93+J93+K93+L93</f>
        <v>11800</v>
      </c>
    </row>
    <row r="94" spans="1:13" ht="15.75" x14ac:dyDescent="0.25">
      <c r="A94" s="85"/>
      <c r="B94" s="85"/>
      <c r="C94" s="92"/>
      <c r="D94" s="85"/>
      <c r="E94" s="85"/>
      <c r="F94" s="127"/>
      <c r="G94" s="108"/>
      <c r="H94" s="110"/>
      <c r="I94" s="12"/>
      <c r="J94" s="110"/>
      <c r="K94" s="110"/>
      <c r="L94" s="110"/>
      <c r="M94" s="110"/>
    </row>
    <row r="95" spans="1:13" ht="16.5" thickBot="1" x14ac:dyDescent="0.3">
      <c r="A95" s="85">
        <v>2</v>
      </c>
      <c r="B95" s="85">
        <v>2</v>
      </c>
      <c r="C95" s="92">
        <v>8</v>
      </c>
      <c r="D95" s="85">
        <v>6</v>
      </c>
      <c r="E95" s="93"/>
      <c r="F95" s="128" t="s">
        <v>74</v>
      </c>
      <c r="G95" s="125">
        <f t="shared" ref="G95:M95" si="22">G96+G97</f>
        <v>1894000</v>
      </c>
      <c r="H95" s="117">
        <f t="shared" si="22"/>
        <v>0</v>
      </c>
      <c r="I95" s="19" t="e">
        <f t="shared" si="22"/>
        <v>#REF!</v>
      </c>
      <c r="J95" s="117">
        <f t="shared" si="22"/>
        <v>0</v>
      </c>
      <c r="K95" s="117">
        <f t="shared" si="22"/>
        <v>0</v>
      </c>
      <c r="L95" s="117">
        <f t="shared" si="22"/>
        <v>2555</v>
      </c>
      <c r="M95" s="117">
        <f t="shared" si="22"/>
        <v>2555</v>
      </c>
    </row>
    <row r="96" spans="1:13" ht="15.75" x14ac:dyDescent="0.25">
      <c r="A96" s="85">
        <v>2</v>
      </c>
      <c r="B96" s="85">
        <v>2</v>
      </c>
      <c r="C96" s="92">
        <v>8</v>
      </c>
      <c r="D96" s="85">
        <v>6</v>
      </c>
      <c r="E96" s="85">
        <v>1</v>
      </c>
      <c r="F96" s="127" t="s">
        <v>75</v>
      </c>
      <c r="G96" s="107">
        <v>1882000</v>
      </c>
      <c r="H96" s="109">
        <v>0</v>
      </c>
      <c r="I96" s="12" t="e">
        <f>+G96-#REF!</f>
        <v>#REF!</v>
      </c>
      <c r="J96" s="109">
        <v>0</v>
      </c>
      <c r="K96" s="109"/>
      <c r="L96" s="109"/>
      <c r="M96" s="109">
        <f>+H96+J96+K96+L96</f>
        <v>0</v>
      </c>
    </row>
    <row r="97" spans="1:13" ht="15.75" x14ac:dyDescent="0.25">
      <c r="A97" s="85">
        <v>2</v>
      </c>
      <c r="B97" s="85">
        <v>2</v>
      </c>
      <c r="C97" s="92">
        <v>8</v>
      </c>
      <c r="D97" s="85">
        <v>6</v>
      </c>
      <c r="E97" s="85">
        <v>2</v>
      </c>
      <c r="F97" s="127" t="s">
        <v>76</v>
      </c>
      <c r="G97" s="108">
        <v>12000</v>
      </c>
      <c r="H97" s="110"/>
      <c r="I97" s="12" t="e">
        <f>+G97-#REF!</f>
        <v>#REF!</v>
      </c>
      <c r="J97" s="110"/>
      <c r="K97" s="110"/>
      <c r="L97" s="110">
        <f>2175+380</f>
        <v>2555</v>
      </c>
      <c r="M97" s="110">
        <f>+H97+J97+K97+L97</f>
        <v>2555</v>
      </c>
    </row>
    <row r="98" spans="1:13" ht="15.75" x14ac:dyDescent="0.25">
      <c r="A98" s="85"/>
      <c r="B98" s="85"/>
      <c r="C98" s="92"/>
      <c r="D98" s="85"/>
      <c r="E98" s="85"/>
      <c r="F98" s="127"/>
      <c r="G98" s="108"/>
      <c r="H98" s="110">
        <v>0</v>
      </c>
      <c r="I98" s="12">
        <v>0</v>
      </c>
      <c r="J98" s="110">
        <v>0</v>
      </c>
      <c r="K98" s="110"/>
      <c r="L98" s="110"/>
      <c r="M98" s="110">
        <v>0</v>
      </c>
    </row>
    <row r="99" spans="1:13" ht="16.5" thickBot="1" x14ac:dyDescent="0.3">
      <c r="A99" s="85">
        <v>2</v>
      </c>
      <c r="B99" s="85">
        <v>2</v>
      </c>
      <c r="C99" s="92">
        <v>8</v>
      </c>
      <c r="D99" s="85">
        <v>7</v>
      </c>
      <c r="E99" s="93"/>
      <c r="F99" s="128" t="s">
        <v>77</v>
      </c>
      <c r="G99" s="129">
        <f t="shared" ref="G99:M99" si="23">G100+G101+G102+G103+G104</f>
        <v>2396936</v>
      </c>
      <c r="H99" s="118">
        <f t="shared" si="23"/>
        <v>251021.86</v>
      </c>
      <c r="I99" s="6" t="e">
        <f t="shared" si="23"/>
        <v>#REF!</v>
      </c>
      <c r="J99" s="118">
        <f t="shared" si="23"/>
        <v>431609.88</v>
      </c>
      <c r="K99" s="118">
        <f t="shared" si="23"/>
        <v>413750.07999999996</v>
      </c>
      <c r="L99" s="118">
        <f>L100+L101+L102+L103+L104</f>
        <v>721344.99</v>
      </c>
      <c r="M99" s="118">
        <f t="shared" si="23"/>
        <v>1817726.8099999998</v>
      </c>
    </row>
    <row r="100" spans="1:13" ht="15.75" x14ac:dyDescent="0.25">
      <c r="A100" s="85">
        <v>2</v>
      </c>
      <c r="B100" s="85">
        <v>2</v>
      </c>
      <c r="C100" s="92">
        <v>8</v>
      </c>
      <c r="D100" s="85">
        <v>7</v>
      </c>
      <c r="E100" s="85">
        <v>1</v>
      </c>
      <c r="F100" s="106" t="s">
        <v>78</v>
      </c>
      <c r="G100" s="108">
        <v>500000</v>
      </c>
      <c r="H100" s="110">
        <v>0</v>
      </c>
      <c r="I100" s="13" t="e">
        <f>+G100-#REF!</f>
        <v>#REF!</v>
      </c>
      <c r="J100" s="110">
        <v>0</v>
      </c>
      <c r="K100" s="110"/>
      <c r="L100" s="110"/>
      <c r="M100" s="110">
        <f>+H100+J100+K100+L100</f>
        <v>0</v>
      </c>
    </row>
    <row r="101" spans="1:13" ht="15.75" x14ac:dyDescent="0.25">
      <c r="A101" s="85">
        <v>2</v>
      </c>
      <c r="B101" s="85">
        <v>2</v>
      </c>
      <c r="C101" s="92">
        <v>8</v>
      </c>
      <c r="D101" s="85">
        <v>7</v>
      </c>
      <c r="E101" s="119">
        <v>3</v>
      </c>
      <c r="F101" s="106" t="s">
        <v>79</v>
      </c>
      <c r="G101" s="108">
        <v>300000</v>
      </c>
      <c r="H101" s="110"/>
      <c r="I101" s="24" t="e">
        <f>+G101-#REF!</f>
        <v>#REF!</v>
      </c>
      <c r="J101" s="110"/>
      <c r="K101" s="110">
        <v>48000</v>
      </c>
      <c r="L101" s="110"/>
      <c r="M101" s="110">
        <f>+H101+J101+K101+L101</f>
        <v>48000</v>
      </c>
    </row>
    <row r="102" spans="1:13" ht="15.75" x14ac:dyDescent="0.25">
      <c r="A102" s="85">
        <v>2</v>
      </c>
      <c r="B102" s="85">
        <v>2</v>
      </c>
      <c r="C102" s="92">
        <v>8</v>
      </c>
      <c r="D102" s="85">
        <v>7</v>
      </c>
      <c r="E102" s="85">
        <v>4</v>
      </c>
      <c r="F102" s="106" t="s">
        <v>80</v>
      </c>
      <c r="G102" s="108"/>
      <c r="H102" s="110">
        <v>10000</v>
      </c>
      <c r="I102" s="24" t="e">
        <f>+G102-#REF!</f>
        <v>#REF!</v>
      </c>
      <c r="J102" s="110"/>
      <c r="K102" s="110">
        <v>5000</v>
      </c>
      <c r="L102" s="110">
        <v>16640</v>
      </c>
      <c r="M102" s="110">
        <f>+H102+J102+K102+L102</f>
        <v>31640</v>
      </c>
    </row>
    <row r="103" spans="1:13" ht="31.5" x14ac:dyDescent="0.25">
      <c r="A103" s="85">
        <v>2</v>
      </c>
      <c r="B103" s="85">
        <v>2</v>
      </c>
      <c r="C103" s="92">
        <v>8</v>
      </c>
      <c r="D103" s="85">
        <v>7</v>
      </c>
      <c r="E103" s="85">
        <v>5</v>
      </c>
      <c r="F103" s="106" t="s">
        <v>81</v>
      </c>
      <c r="G103" s="108">
        <v>12000</v>
      </c>
      <c r="H103" s="110">
        <v>3233.36</v>
      </c>
      <c r="I103" s="24" t="e">
        <f>+G103-#REF!</f>
        <v>#REF!</v>
      </c>
      <c r="J103" s="110"/>
      <c r="K103" s="110">
        <v>5655.28</v>
      </c>
      <c r="L103" s="110">
        <v>51829.599999999999</v>
      </c>
      <c r="M103" s="110">
        <f>+H103+J103+K103+L103</f>
        <v>60718.239999999998</v>
      </c>
    </row>
    <row r="104" spans="1:13" ht="15.75" x14ac:dyDescent="0.25">
      <c r="A104" s="85">
        <v>2</v>
      </c>
      <c r="B104" s="85">
        <v>2</v>
      </c>
      <c r="C104" s="92">
        <v>8</v>
      </c>
      <c r="D104" s="85">
        <v>7</v>
      </c>
      <c r="E104" s="85">
        <v>6</v>
      </c>
      <c r="F104" s="106" t="s">
        <v>82</v>
      </c>
      <c r="G104" s="108">
        <v>1584936</v>
      </c>
      <c r="H104" s="110">
        <f>38200+11800+43563+144225.5</f>
        <v>237788.5</v>
      </c>
      <c r="I104" s="24" t="e">
        <f>+G104-#REF!</f>
        <v>#REF!</v>
      </c>
      <c r="J104" s="110">
        <f>12000+21240+177541.38+11800+144225.5+43563+21240</f>
        <v>431609.88</v>
      </c>
      <c r="K104" s="110">
        <f>10620+26886.3+118000+11800+144225.5+43563</f>
        <v>355094.8</v>
      </c>
      <c r="L104" s="110">
        <f>29500+110963.37+6608+42480+90935.52+144225.5+11800+118000+43563+54800</f>
        <v>652875.39</v>
      </c>
      <c r="M104" s="110">
        <f>+H104+J104+K104+L104</f>
        <v>1677368.5699999998</v>
      </c>
    </row>
    <row r="105" spans="1:13" ht="16.5" thickBot="1" x14ac:dyDescent="0.3">
      <c r="A105" s="85"/>
      <c r="B105" s="85"/>
      <c r="C105" s="92"/>
      <c r="D105" s="85"/>
      <c r="E105" s="85"/>
      <c r="F105" s="106"/>
      <c r="G105" s="111"/>
      <c r="H105" s="117"/>
      <c r="I105" s="19"/>
      <c r="J105" s="117"/>
      <c r="K105" s="117"/>
      <c r="L105" s="117"/>
      <c r="M105" s="117"/>
    </row>
    <row r="106" spans="1:13" ht="16.5" thickBot="1" x14ac:dyDescent="0.3">
      <c r="A106" s="85">
        <v>2</v>
      </c>
      <c r="B106" s="85">
        <v>2</v>
      </c>
      <c r="C106" s="92">
        <v>9</v>
      </c>
      <c r="D106" s="85"/>
      <c r="E106" s="85"/>
      <c r="F106" s="104" t="s">
        <v>83</v>
      </c>
      <c r="G106" s="100">
        <f>G107+G108</f>
        <v>12000</v>
      </c>
      <c r="H106" s="168">
        <f t="shared" ref="H106:M106" si="24">H107+H108</f>
        <v>33893.49</v>
      </c>
      <c r="I106" s="25" t="e">
        <f t="shared" si="24"/>
        <v>#REF!</v>
      </c>
      <c r="J106" s="168">
        <f t="shared" si="24"/>
        <v>47097.1</v>
      </c>
      <c r="K106" s="168">
        <f t="shared" si="24"/>
        <v>15197.85</v>
      </c>
      <c r="L106" s="168">
        <f>L107+L108</f>
        <v>103340.88</v>
      </c>
      <c r="M106" s="168">
        <f t="shared" si="24"/>
        <v>199529.32</v>
      </c>
    </row>
    <row r="107" spans="1:13" ht="16.5" thickBot="1" x14ac:dyDescent="0.3">
      <c r="A107" s="85">
        <v>2</v>
      </c>
      <c r="B107" s="85">
        <v>2</v>
      </c>
      <c r="C107" s="92">
        <v>9</v>
      </c>
      <c r="D107" s="85">
        <v>2</v>
      </c>
      <c r="E107" s="85"/>
      <c r="F107" s="127" t="s">
        <v>84</v>
      </c>
      <c r="G107" s="97"/>
      <c r="H107" s="130"/>
      <c r="I107" s="26" t="e">
        <f>+G107-#REF!</f>
        <v>#REF!</v>
      </c>
      <c r="J107" s="130"/>
      <c r="K107" s="130"/>
      <c r="L107" s="130"/>
      <c r="M107" s="130"/>
    </row>
    <row r="108" spans="1:13" ht="15.75" x14ac:dyDescent="0.25">
      <c r="A108" s="85">
        <v>2</v>
      </c>
      <c r="B108" s="85">
        <v>2</v>
      </c>
      <c r="C108" s="92">
        <v>9</v>
      </c>
      <c r="D108" s="85">
        <v>2</v>
      </c>
      <c r="E108" s="85">
        <v>1</v>
      </c>
      <c r="F108" s="106" t="s">
        <v>84</v>
      </c>
      <c r="G108" s="108">
        <v>12000</v>
      </c>
      <c r="H108" s="110">
        <f>2066.99+300+175+300+275+175+300+300+30001.5</f>
        <v>33893.49</v>
      </c>
      <c r="I108" s="12" t="e">
        <f>+G108-#REF!</f>
        <v>#REF!</v>
      </c>
      <c r="J108" s="110">
        <f>300+175+145+791.7+400+470+750+475+400+100+265+12823.9+30001.5</f>
        <v>47097.1</v>
      </c>
      <c r="K108" s="110">
        <f>3872+8791+375+245+300+759.85+300+80+475</f>
        <v>15197.85</v>
      </c>
      <c r="L108" s="110">
        <f>9513.6+315+400+315+175+315+1087.28+315+350+385+89680+315+175</f>
        <v>103340.88</v>
      </c>
      <c r="M108" s="110">
        <f>+H108+J108+K108+L108</f>
        <v>199529.32</v>
      </c>
    </row>
    <row r="109" spans="1:13" ht="15.75" x14ac:dyDescent="0.25">
      <c r="A109" s="85"/>
      <c r="B109" s="85"/>
      <c r="C109" s="92"/>
      <c r="D109" s="85"/>
      <c r="E109" s="85"/>
      <c r="F109" s="106"/>
      <c r="G109" s="108"/>
      <c r="H109" s="110"/>
      <c r="I109" s="12"/>
      <c r="J109" s="110"/>
      <c r="K109" s="110"/>
      <c r="L109" s="110"/>
      <c r="M109" s="110"/>
    </row>
    <row r="110" spans="1:13" ht="16.5" thickBot="1" x14ac:dyDescent="0.3">
      <c r="A110" s="85">
        <v>2</v>
      </c>
      <c r="B110" s="85">
        <v>3</v>
      </c>
      <c r="C110" s="92"/>
      <c r="D110" s="85"/>
      <c r="E110" s="93"/>
      <c r="F110" s="104" t="s">
        <v>85</v>
      </c>
      <c r="G110" s="95">
        <f t="shared" ref="G110:M110" si="25">G111+G115+G118+G124+G128+G136</f>
        <v>729304</v>
      </c>
      <c r="H110" s="165">
        <f t="shared" si="25"/>
        <v>85512.01</v>
      </c>
      <c r="I110" s="165" t="e">
        <f t="shared" si="25"/>
        <v>#REF!</v>
      </c>
      <c r="J110" s="165">
        <f t="shared" si="25"/>
        <v>77786.3</v>
      </c>
      <c r="K110" s="165">
        <f t="shared" si="25"/>
        <v>60480</v>
      </c>
      <c r="L110" s="165">
        <f t="shared" si="25"/>
        <v>127356.73999999999</v>
      </c>
      <c r="M110" s="165">
        <f t="shared" si="25"/>
        <v>351135.05000000005</v>
      </c>
    </row>
    <row r="111" spans="1:13" ht="16.5" thickBot="1" x14ac:dyDescent="0.3">
      <c r="A111" s="85">
        <v>2</v>
      </c>
      <c r="B111" s="85">
        <v>3</v>
      </c>
      <c r="C111" s="92">
        <v>1</v>
      </c>
      <c r="D111" s="85"/>
      <c r="E111" s="93"/>
      <c r="F111" s="131" t="s">
        <v>86</v>
      </c>
      <c r="G111" s="112">
        <f t="shared" ref="G111:M111" si="26">G112</f>
        <v>0</v>
      </c>
      <c r="H111" s="113">
        <f t="shared" si="26"/>
        <v>0</v>
      </c>
      <c r="I111" s="15">
        <f t="shared" si="26"/>
        <v>0</v>
      </c>
      <c r="J111" s="113">
        <f t="shared" si="26"/>
        <v>0</v>
      </c>
      <c r="K111" s="113">
        <f t="shared" si="26"/>
        <v>0</v>
      </c>
      <c r="L111" s="113">
        <f t="shared" si="26"/>
        <v>0</v>
      </c>
      <c r="M111" s="113">
        <f t="shared" si="26"/>
        <v>0</v>
      </c>
    </row>
    <row r="112" spans="1:13" ht="15.75" x14ac:dyDescent="0.25">
      <c r="A112" s="85">
        <v>2</v>
      </c>
      <c r="B112" s="85">
        <v>3</v>
      </c>
      <c r="C112" s="92">
        <v>1</v>
      </c>
      <c r="D112" s="85">
        <v>1</v>
      </c>
      <c r="E112" s="93"/>
      <c r="F112" s="132" t="s">
        <v>87</v>
      </c>
      <c r="G112" s="108">
        <f>G113</f>
        <v>0</v>
      </c>
      <c r="H112" s="103"/>
      <c r="I112" s="9"/>
      <c r="J112" s="103"/>
      <c r="K112" s="103"/>
      <c r="L112" s="103"/>
      <c r="M112" s="103">
        <f>+H112+J112+K112+L112</f>
        <v>0</v>
      </c>
    </row>
    <row r="113" spans="1:13" ht="15.75" x14ac:dyDescent="0.25">
      <c r="A113" s="85">
        <v>2</v>
      </c>
      <c r="B113" s="85">
        <v>3</v>
      </c>
      <c r="C113" s="92">
        <v>1</v>
      </c>
      <c r="D113" s="85">
        <v>1</v>
      </c>
      <c r="E113" s="93">
        <v>1</v>
      </c>
      <c r="F113" s="132" t="s">
        <v>87</v>
      </c>
      <c r="G113" s="108"/>
      <c r="H113" s="110">
        <v>0</v>
      </c>
      <c r="I113" s="12">
        <v>0</v>
      </c>
      <c r="J113" s="110">
        <v>0</v>
      </c>
      <c r="K113" s="110"/>
      <c r="L113" s="110"/>
      <c r="M113" s="110">
        <v>0</v>
      </c>
    </row>
    <row r="114" spans="1:13" ht="15.75" x14ac:dyDescent="0.25">
      <c r="A114" s="85"/>
      <c r="B114" s="85"/>
      <c r="C114" s="92"/>
      <c r="D114" s="85"/>
      <c r="E114" s="93"/>
      <c r="F114" s="131"/>
      <c r="G114" s="108"/>
      <c r="H114" s="110"/>
      <c r="I114" s="12"/>
      <c r="J114" s="110"/>
      <c r="K114" s="110"/>
      <c r="L114" s="110"/>
      <c r="M114" s="110"/>
    </row>
    <row r="115" spans="1:13" ht="16.5" thickBot="1" x14ac:dyDescent="0.3">
      <c r="A115" s="85">
        <v>2</v>
      </c>
      <c r="B115" s="85">
        <v>3</v>
      </c>
      <c r="C115" s="92">
        <v>2</v>
      </c>
      <c r="D115" s="85"/>
      <c r="E115" s="93"/>
      <c r="F115" s="131" t="s">
        <v>88</v>
      </c>
      <c r="G115" s="108"/>
      <c r="H115" s="110">
        <f t="shared" ref="H115:M115" si="27">H116</f>
        <v>0</v>
      </c>
      <c r="I115" s="12">
        <f t="shared" si="27"/>
        <v>0</v>
      </c>
      <c r="J115" s="110">
        <f t="shared" si="27"/>
        <v>0</v>
      </c>
      <c r="K115" s="110">
        <f t="shared" si="27"/>
        <v>0</v>
      </c>
      <c r="L115" s="110">
        <f t="shared" si="27"/>
        <v>0</v>
      </c>
      <c r="M115" s="110">
        <f t="shared" si="27"/>
        <v>0</v>
      </c>
    </row>
    <row r="116" spans="1:13" ht="15.75" x14ac:dyDescent="0.25">
      <c r="A116" s="85">
        <v>2</v>
      </c>
      <c r="B116" s="85">
        <v>3</v>
      </c>
      <c r="C116" s="92">
        <v>2</v>
      </c>
      <c r="D116" s="85">
        <v>3</v>
      </c>
      <c r="E116" s="93"/>
      <c r="F116" s="132" t="s">
        <v>89</v>
      </c>
      <c r="G116" s="107"/>
      <c r="H116" s="109">
        <v>0</v>
      </c>
      <c r="I116" s="13">
        <v>0</v>
      </c>
      <c r="J116" s="109">
        <v>0</v>
      </c>
      <c r="K116" s="109"/>
      <c r="L116" s="109"/>
      <c r="M116" s="109">
        <f>+H116+J116+K116+L116</f>
        <v>0</v>
      </c>
    </row>
    <row r="117" spans="1:13" s="17" customFormat="1" ht="15.75" x14ac:dyDescent="0.25">
      <c r="A117" s="85"/>
      <c r="B117" s="85"/>
      <c r="C117" s="92"/>
      <c r="D117" s="85"/>
      <c r="E117" s="93"/>
      <c r="F117" s="131"/>
      <c r="G117" s="108"/>
      <c r="H117" s="103"/>
      <c r="I117" s="9"/>
      <c r="J117" s="103"/>
      <c r="K117" s="103"/>
      <c r="L117" s="103"/>
      <c r="M117" s="103"/>
    </row>
    <row r="118" spans="1:13" ht="16.5" thickBot="1" x14ac:dyDescent="0.3">
      <c r="A118" s="85">
        <v>2</v>
      </c>
      <c r="B118" s="115">
        <v>3</v>
      </c>
      <c r="C118" s="116">
        <v>3</v>
      </c>
      <c r="D118" s="93"/>
      <c r="E118" s="93"/>
      <c r="F118" s="104" t="s">
        <v>90</v>
      </c>
      <c r="G118" s="95">
        <f t="shared" ref="G118:M118" si="28">G119+G120+G121+G122</f>
        <v>101500</v>
      </c>
      <c r="H118" s="105">
        <f t="shared" si="28"/>
        <v>0</v>
      </c>
      <c r="I118" s="10" t="e">
        <f t="shared" si="28"/>
        <v>#REF!</v>
      </c>
      <c r="J118" s="105">
        <f t="shared" si="28"/>
        <v>708</v>
      </c>
      <c r="K118" s="105">
        <f t="shared" si="28"/>
        <v>0</v>
      </c>
      <c r="L118" s="105">
        <f t="shared" si="28"/>
        <v>0</v>
      </c>
      <c r="M118" s="105">
        <f t="shared" si="28"/>
        <v>708</v>
      </c>
    </row>
    <row r="119" spans="1:13" ht="15.75" x14ac:dyDescent="0.25">
      <c r="A119" s="85">
        <v>2</v>
      </c>
      <c r="B119" s="85">
        <v>3</v>
      </c>
      <c r="C119" s="92">
        <v>3</v>
      </c>
      <c r="D119" s="85">
        <v>1</v>
      </c>
      <c r="E119" s="85"/>
      <c r="F119" s="127" t="s">
        <v>91</v>
      </c>
      <c r="G119" s="107">
        <v>68000</v>
      </c>
      <c r="H119" s="109"/>
      <c r="I119" s="12" t="e">
        <f>+G119-#REF!</f>
        <v>#REF!</v>
      </c>
      <c r="J119" s="109"/>
      <c r="K119" s="109"/>
      <c r="L119" s="109"/>
      <c r="M119" s="109">
        <f>+H119+J119+K119+L119</f>
        <v>0</v>
      </c>
    </row>
    <row r="120" spans="1:13" ht="15.75" x14ac:dyDescent="0.25">
      <c r="A120" s="85">
        <v>2</v>
      </c>
      <c r="B120" s="85">
        <v>3</v>
      </c>
      <c r="C120" s="92">
        <v>3</v>
      </c>
      <c r="D120" s="85">
        <v>2</v>
      </c>
      <c r="E120" s="85"/>
      <c r="F120" s="127" t="s">
        <v>92</v>
      </c>
      <c r="G120" s="108">
        <v>23000</v>
      </c>
      <c r="H120" s="110">
        <v>0</v>
      </c>
      <c r="I120" s="12" t="e">
        <f>+G120-#REF!</f>
        <v>#REF!</v>
      </c>
      <c r="J120" s="110">
        <v>0</v>
      </c>
      <c r="K120" s="110"/>
      <c r="L120" s="110"/>
      <c r="M120" s="110">
        <f>+H120+J120+K120+L120</f>
        <v>0</v>
      </c>
    </row>
    <row r="121" spans="1:13" ht="15.75" x14ac:dyDescent="0.25">
      <c r="A121" s="85">
        <v>2</v>
      </c>
      <c r="B121" s="85">
        <v>3</v>
      </c>
      <c r="C121" s="92">
        <v>3</v>
      </c>
      <c r="D121" s="85">
        <v>3</v>
      </c>
      <c r="E121" s="85"/>
      <c r="F121" s="127" t="s">
        <v>93</v>
      </c>
      <c r="G121" s="108">
        <v>0</v>
      </c>
      <c r="H121" s="110">
        <v>0</v>
      </c>
      <c r="I121" s="12">
        <v>0</v>
      </c>
      <c r="J121" s="110">
        <v>708</v>
      </c>
      <c r="K121" s="110"/>
      <c r="L121" s="110"/>
      <c r="M121" s="110">
        <f>+H121+J121+K121+L121</f>
        <v>708</v>
      </c>
    </row>
    <row r="122" spans="1:13" ht="15.75" x14ac:dyDescent="0.25">
      <c r="A122" s="85">
        <v>2</v>
      </c>
      <c r="B122" s="85">
        <v>3</v>
      </c>
      <c r="C122" s="92">
        <v>3</v>
      </c>
      <c r="D122" s="85">
        <v>4</v>
      </c>
      <c r="E122" s="85"/>
      <c r="F122" s="127" t="s">
        <v>94</v>
      </c>
      <c r="G122" s="108">
        <v>10500</v>
      </c>
      <c r="H122" s="110"/>
      <c r="I122" s="12" t="e">
        <f>+G122-#REF!</f>
        <v>#REF!</v>
      </c>
      <c r="J122" s="110"/>
      <c r="K122" s="110"/>
      <c r="L122" s="110"/>
      <c r="M122" s="110">
        <f>+H122+J122+K122+L122</f>
        <v>0</v>
      </c>
    </row>
    <row r="123" spans="1:13" s="28" customFormat="1" ht="16.5" thickBot="1" x14ac:dyDescent="0.3">
      <c r="A123" s="85"/>
      <c r="B123" s="85"/>
      <c r="C123" s="92"/>
      <c r="D123" s="85"/>
      <c r="E123" s="85"/>
      <c r="F123" s="127"/>
      <c r="G123" s="108"/>
      <c r="H123" s="110"/>
      <c r="I123" s="12"/>
      <c r="J123" s="110"/>
      <c r="K123" s="110"/>
      <c r="L123" s="110"/>
      <c r="M123" s="110">
        <f>+H123+J123+K123+L123</f>
        <v>0</v>
      </c>
    </row>
    <row r="124" spans="1:13" s="28" customFormat="1" ht="32.25" thickBot="1" x14ac:dyDescent="0.3">
      <c r="A124" s="93">
        <v>2</v>
      </c>
      <c r="B124" s="93">
        <v>3</v>
      </c>
      <c r="C124" s="133">
        <v>7</v>
      </c>
      <c r="D124" s="93"/>
      <c r="E124" s="93"/>
      <c r="F124" s="128" t="s">
        <v>95</v>
      </c>
      <c r="G124" s="95">
        <f t="shared" ref="G124:M125" si="29">G125</f>
        <v>300000</v>
      </c>
      <c r="H124" s="117">
        <f t="shared" si="29"/>
        <v>0</v>
      </c>
      <c r="I124" s="16" t="e">
        <f t="shared" si="29"/>
        <v>#REF!</v>
      </c>
      <c r="J124" s="117">
        <f t="shared" si="29"/>
        <v>0</v>
      </c>
      <c r="K124" s="117">
        <f t="shared" si="29"/>
        <v>60000</v>
      </c>
      <c r="L124" s="117">
        <f t="shared" si="29"/>
        <v>0</v>
      </c>
      <c r="M124" s="117">
        <f t="shared" si="29"/>
        <v>60000</v>
      </c>
    </row>
    <row r="125" spans="1:13" s="29" customFormat="1" ht="16.5" thickBot="1" x14ac:dyDescent="0.3">
      <c r="A125" s="93">
        <v>2</v>
      </c>
      <c r="B125" s="93">
        <v>3</v>
      </c>
      <c r="C125" s="133">
        <v>7</v>
      </c>
      <c r="D125" s="93">
        <v>1</v>
      </c>
      <c r="E125" s="93"/>
      <c r="F125" s="128" t="s">
        <v>96</v>
      </c>
      <c r="G125" s="95">
        <f t="shared" si="29"/>
        <v>300000</v>
      </c>
      <c r="H125" s="98">
        <f t="shared" si="29"/>
        <v>0</v>
      </c>
      <c r="I125" s="16" t="e">
        <f>I126</f>
        <v>#REF!</v>
      </c>
      <c r="J125" s="98">
        <f t="shared" si="29"/>
        <v>0</v>
      </c>
      <c r="K125" s="98">
        <f t="shared" si="29"/>
        <v>60000</v>
      </c>
      <c r="L125" s="98">
        <f t="shared" si="29"/>
        <v>0</v>
      </c>
      <c r="M125" s="98">
        <f t="shared" si="29"/>
        <v>60000</v>
      </c>
    </row>
    <row r="126" spans="1:13" ht="15.75" x14ac:dyDescent="0.25">
      <c r="A126" s="119">
        <v>2</v>
      </c>
      <c r="B126" s="119">
        <v>3</v>
      </c>
      <c r="C126" s="134">
        <v>7</v>
      </c>
      <c r="D126" s="119">
        <v>1</v>
      </c>
      <c r="E126" s="119">
        <v>1</v>
      </c>
      <c r="F126" s="106" t="s">
        <v>97</v>
      </c>
      <c r="G126" s="108">
        <v>300000</v>
      </c>
      <c r="H126" s="109"/>
      <c r="I126" s="13" t="e">
        <f>+G126-#REF!</f>
        <v>#REF!</v>
      </c>
      <c r="J126" s="109"/>
      <c r="K126" s="109">
        <v>60000</v>
      </c>
      <c r="L126" s="109"/>
      <c r="M126" s="109">
        <f>+H126+J126+K126+L126</f>
        <v>60000</v>
      </c>
    </row>
    <row r="127" spans="1:13" ht="15.75" x14ac:dyDescent="0.25">
      <c r="A127" s="85"/>
      <c r="B127" s="85"/>
      <c r="C127" s="92"/>
      <c r="D127" s="85"/>
      <c r="E127" s="85"/>
      <c r="F127" s="106"/>
      <c r="G127" s="108"/>
      <c r="H127" s="110"/>
      <c r="I127" s="12"/>
      <c r="J127" s="110"/>
      <c r="K127" s="110"/>
      <c r="L127" s="110"/>
      <c r="M127" s="110"/>
    </row>
    <row r="128" spans="1:13" ht="16.5" thickBot="1" x14ac:dyDescent="0.3">
      <c r="A128" s="85">
        <v>2</v>
      </c>
      <c r="B128" s="85">
        <v>3</v>
      </c>
      <c r="C128" s="92">
        <v>9</v>
      </c>
      <c r="D128" s="85"/>
      <c r="E128" s="93"/>
      <c r="F128" s="104" t="s">
        <v>98</v>
      </c>
      <c r="G128" s="129">
        <f t="shared" ref="G128:M128" si="30">SUM(G129:G133)</f>
        <v>327804</v>
      </c>
      <c r="H128" s="129">
        <f t="shared" si="30"/>
        <v>85512.01</v>
      </c>
      <c r="I128" s="129" t="e">
        <f t="shared" si="30"/>
        <v>#REF!</v>
      </c>
      <c r="J128" s="180">
        <f t="shared" si="30"/>
        <v>77078.3</v>
      </c>
      <c r="K128" s="180">
        <f t="shared" si="30"/>
        <v>480</v>
      </c>
      <c r="L128" s="180">
        <f t="shared" si="30"/>
        <v>116541.09999999999</v>
      </c>
      <c r="M128" s="180">
        <f t="shared" si="30"/>
        <v>279611.41000000003</v>
      </c>
    </row>
    <row r="129" spans="1:13" ht="15.75" x14ac:dyDescent="0.25">
      <c r="A129" s="85">
        <v>2</v>
      </c>
      <c r="B129" s="85">
        <v>3</v>
      </c>
      <c r="C129" s="92">
        <v>9</v>
      </c>
      <c r="D129" s="85">
        <v>1</v>
      </c>
      <c r="E129" s="85"/>
      <c r="F129" s="106" t="s">
        <v>99</v>
      </c>
      <c r="G129" s="107">
        <v>8000</v>
      </c>
      <c r="H129" s="110"/>
      <c r="I129" s="12" t="e">
        <f>+G129-#REF!</f>
        <v>#REF!</v>
      </c>
      <c r="J129" s="110">
        <v>50</v>
      </c>
      <c r="K129" s="110"/>
      <c r="L129" s="110">
        <v>120</v>
      </c>
      <c r="M129" s="110">
        <f>+H129+J129+K129+L129</f>
        <v>170</v>
      </c>
    </row>
    <row r="130" spans="1:13" ht="31.5" x14ac:dyDescent="0.25">
      <c r="A130" s="85">
        <v>2</v>
      </c>
      <c r="B130" s="85">
        <v>3</v>
      </c>
      <c r="C130" s="92">
        <v>9</v>
      </c>
      <c r="D130" s="85">
        <v>2</v>
      </c>
      <c r="E130" s="85"/>
      <c r="F130" s="106" t="s">
        <v>100</v>
      </c>
      <c r="G130" s="108">
        <v>195000</v>
      </c>
      <c r="H130" s="110">
        <v>79914.009999999995</v>
      </c>
      <c r="I130" s="12" t="e">
        <f>+G130-#REF!</f>
        <v>#REF!</v>
      </c>
      <c r="J130" s="110">
        <f>22495.78+8966.17+9109.6</f>
        <v>40571.549999999996</v>
      </c>
      <c r="K130" s="110"/>
      <c r="L130" s="110">
        <v>110424.4</v>
      </c>
      <c r="M130" s="110">
        <f>+H130+J130+K130+L130</f>
        <v>230909.96</v>
      </c>
    </row>
    <row r="131" spans="1:13" ht="15.75" x14ac:dyDescent="0.25">
      <c r="A131" s="85">
        <v>2</v>
      </c>
      <c r="B131" s="119">
        <v>3</v>
      </c>
      <c r="C131" s="119">
        <v>9</v>
      </c>
      <c r="D131" s="85">
        <v>5</v>
      </c>
      <c r="E131" s="85"/>
      <c r="F131" s="135" t="s">
        <v>101</v>
      </c>
      <c r="G131" s="108">
        <v>10000</v>
      </c>
      <c r="H131" s="110"/>
      <c r="I131" s="12" t="e">
        <f>+G131-#REF!</f>
        <v>#REF!</v>
      </c>
      <c r="J131" s="110">
        <f>258.9+29108.9</f>
        <v>29367.800000000003</v>
      </c>
      <c r="K131" s="110"/>
      <c r="L131" s="110"/>
      <c r="M131" s="110">
        <f>+H131+J131+K131+L131</f>
        <v>29367.800000000003</v>
      </c>
    </row>
    <row r="132" spans="1:13" ht="15.75" x14ac:dyDescent="0.25">
      <c r="A132" s="85">
        <v>2</v>
      </c>
      <c r="B132" s="85">
        <v>3</v>
      </c>
      <c r="C132" s="92">
        <v>9</v>
      </c>
      <c r="D132" s="85">
        <v>8</v>
      </c>
      <c r="E132" s="85"/>
      <c r="F132" s="132" t="s">
        <v>102</v>
      </c>
      <c r="G132" s="108">
        <v>20000</v>
      </c>
      <c r="H132" s="110">
        <v>2600</v>
      </c>
      <c r="I132" s="12" t="e">
        <f>+G132-#REF!</f>
        <v>#REF!</v>
      </c>
      <c r="J132" s="110"/>
      <c r="K132" s="110"/>
      <c r="L132" s="110"/>
      <c r="M132" s="110">
        <f>+H132+J132+K132+L132</f>
        <v>2600</v>
      </c>
    </row>
    <row r="133" spans="1:13" ht="15.75" x14ac:dyDescent="0.25">
      <c r="A133" s="85">
        <v>2</v>
      </c>
      <c r="B133" s="85">
        <v>3</v>
      </c>
      <c r="C133" s="92">
        <v>9</v>
      </c>
      <c r="D133" s="85">
        <v>9</v>
      </c>
      <c r="E133" s="85"/>
      <c r="F133" s="132" t="s">
        <v>103</v>
      </c>
      <c r="G133" s="108">
        <v>94804</v>
      </c>
      <c r="H133" s="110">
        <f>100+100+100+100+100+195+1200+1103</f>
        <v>2998</v>
      </c>
      <c r="I133" s="12" t="e">
        <f>+G133-#REF!</f>
        <v>#REF!</v>
      </c>
      <c r="J133" s="110">
        <f>6830+258.95</f>
        <v>7088.95</v>
      </c>
      <c r="K133" s="110">
        <v>480</v>
      </c>
      <c r="L133" s="110">
        <f>3957+517.9+560+143.95+817.85</f>
        <v>5996.7</v>
      </c>
      <c r="M133" s="110">
        <f>+H133+J133+K133+L133</f>
        <v>16563.650000000001</v>
      </c>
    </row>
    <row r="134" spans="1:13" ht="15.75" x14ac:dyDescent="0.25">
      <c r="A134" s="85">
        <v>2</v>
      </c>
      <c r="B134" s="85">
        <v>3</v>
      </c>
      <c r="C134" s="92">
        <v>9</v>
      </c>
      <c r="D134" s="85">
        <v>9</v>
      </c>
      <c r="E134" s="85">
        <v>2</v>
      </c>
      <c r="F134" s="132" t="s">
        <v>104</v>
      </c>
      <c r="G134" s="108"/>
      <c r="H134" s="110">
        <v>0</v>
      </c>
      <c r="I134" s="12">
        <v>0</v>
      </c>
      <c r="J134" s="110">
        <v>0</v>
      </c>
      <c r="K134" s="110"/>
      <c r="L134" s="110"/>
      <c r="M134" s="110">
        <f>+H134+J134+K134</f>
        <v>0</v>
      </c>
    </row>
    <row r="135" spans="1:13" ht="15.75" x14ac:dyDescent="0.25">
      <c r="A135" s="85"/>
      <c r="B135" s="85"/>
      <c r="C135" s="92"/>
      <c r="D135" s="85"/>
      <c r="E135" s="85"/>
      <c r="F135" s="106"/>
      <c r="G135" s="108"/>
      <c r="H135" s="110"/>
      <c r="I135" s="12"/>
      <c r="J135" s="110"/>
      <c r="K135" s="110"/>
      <c r="L135" s="110"/>
      <c r="M135" s="110"/>
    </row>
    <row r="136" spans="1:13" ht="16.5" thickBot="1" x14ac:dyDescent="0.3">
      <c r="A136" s="85">
        <v>2</v>
      </c>
      <c r="B136" s="85">
        <v>6</v>
      </c>
      <c r="C136" s="92"/>
      <c r="D136" s="85"/>
      <c r="E136" s="93"/>
      <c r="F136" s="104" t="s">
        <v>105</v>
      </c>
      <c r="G136" s="96">
        <f>G137+G145+G149</f>
        <v>0</v>
      </c>
      <c r="H136" s="96">
        <f t="shared" ref="H136:M136" si="31">H137+H145+H149</f>
        <v>0</v>
      </c>
      <c r="I136" s="6" t="e">
        <f>I137+I145+I149+I138</f>
        <v>#REF!</v>
      </c>
      <c r="J136" s="96">
        <f t="shared" si="31"/>
        <v>0</v>
      </c>
      <c r="K136" s="96">
        <f t="shared" si="31"/>
        <v>0</v>
      </c>
      <c r="L136" s="96">
        <f t="shared" si="31"/>
        <v>10815.64</v>
      </c>
      <c r="M136" s="96">
        <f t="shared" si="31"/>
        <v>10815.64</v>
      </c>
    </row>
    <row r="137" spans="1:13" ht="16.5" thickBot="1" x14ac:dyDescent="0.3">
      <c r="A137" s="85">
        <v>2</v>
      </c>
      <c r="B137" s="85">
        <v>6</v>
      </c>
      <c r="C137" s="92">
        <v>1</v>
      </c>
      <c r="D137" s="85"/>
      <c r="E137" s="119"/>
      <c r="F137" s="128" t="s">
        <v>106</v>
      </c>
      <c r="G137" s="97">
        <f>G139+G140+G141+G143+G144</f>
        <v>0</v>
      </c>
      <c r="H137" s="169">
        <f t="shared" ref="H137:M137" si="32">+H138+H139+H140+H141+H142+H143</f>
        <v>0</v>
      </c>
      <c r="I137" s="7">
        <f>I139+I140+I141+I143+I144</f>
        <v>0</v>
      </c>
      <c r="J137" s="169">
        <f t="shared" si="32"/>
        <v>0</v>
      </c>
      <c r="K137" s="169">
        <f t="shared" si="32"/>
        <v>0</v>
      </c>
      <c r="L137" s="169">
        <f t="shared" si="32"/>
        <v>10815.64</v>
      </c>
      <c r="M137" s="169">
        <f t="shared" si="32"/>
        <v>10815.64</v>
      </c>
    </row>
    <row r="138" spans="1:13" ht="16.5" thickBot="1" x14ac:dyDescent="0.3">
      <c r="A138" s="85">
        <v>2</v>
      </c>
      <c r="B138" s="85">
        <v>6</v>
      </c>
      <c r="C138" s="92">
        <v>8</v>
      </c>
      <c r="D138" s="85">
        <v>8</v>
      </c>
      <c r="E138" s="119"/>
      <c r="F138" s="136" t="s">
        <v>107</v>
      </c>
      <c r="G138" s="108">
        <f>G140+G141+G142+G144+G145</f>
        <v>0</v>
      </c>
      <c r="H138" s="124">
        <f>H140+H141+H142+H144+H145</f>
        <v>0</v>
      </c>
      <c r="I138" s="7" t="e">
        <f>+G138-#REF!</f>
        <v>#REF!</v>
      </c>
      <c r="J138" s="124">
        <f>J140+J141+J142+J144+J145</f>
        <v>0</v>
      </c>
      <c r="K138" s="124">
        <f>K140+K141+K142+K144+K145</f>
        <v>0</v>
      </c>
      <c r="L138" s="124"/>
      <c r="M138" s="124">
        <f t="shared" ref="M138:M143" si="33">+H138+J138+K138+L138</f>
        <v>0</v>
      </c>
    </row>
    <row r="139" spans="1:13" ht="15.75" x14ac:dyDescent="0.25">
      <c r="A139" s="85">
        <v>2</v>
      </c>
      <c r="B139" s="85">
        <v>6</v>
      </c>
      <c r="C139" s="92">
        <v>1</v>
      </c>
      <c r="D139" s="85">
        <v>1</v>
      </c>
      <c r="E139" s="119"/>
      <c r="F139" s="127" t="s">
        <v>108</v>
      </c>
      <c r="G139" s="108"/>
      <c r="H139" s="110"/>
      <c r="I139" s="13"/>
      <c r="J139" s="110"/>
      <c r="K139" s="110"/>
      <c r="L139" s="110">
        <v>10815.64</v>
      </c>
      <c r="M139" s="110">
        <f t="shared" si="33"/>
        <v>10815.64</v>
      </c>
    </row>
    <row r="140" spans="1:13" ht="15.75" x14ac:dyDescent="0.25">
      <c r="A140" s="85">
        <v>2</v>
      </c>
      <c r="B140" s="85">
        <v>6</v>
      </c>
      <c r="C140" s="92">
        <v>1</v>
      </c>
      <c r="D140" s="85">
        <v>4</v>
      </c>
      <c r="E140" s="119"/>
      <c r="F140" s="127" t="s">
        <v>109</v>
      </c>
      <c r="G140" s="108"/>
      <c r="H140" s="110"/>
      <c r="I140" s="12"/>
      <c r="J140" s="110"/>
      <c r="K140" s="110"/>
      <c r="L140" s="110"/>
      <c r="M140" s="110">
        <f t="shared" si="33"/>
        <v>0</v>
      </c>
    </row>
    <row r="141" spans="1:13" ht="15.75" x14ac:dyDescent="0.25">
      <c r="A141" s="85">
        <v>2</v>
      </c>
      <c r="B141" s="85">
        <v>6</v>
      </c>
      <c r="C141" s="92">
        <v>1</v>
      </c>
      <c r="D141" s="85">
        <v>7</v>
      </c>
      <c r="E141" s="119"/>
      <c r="F141" s="127" t="s">
        <v>110</v>
      </c>
      <c r="G141" s="108"/>
      <c r="H141" s="110">
        <v>0</v>
      </c>
      <c r="I141" s="12">
        <v>0</v>
      </c>
      <c r="J141" s="110">
        <v>0</v>
      </c>
      <c r="K141" s="110"/>
      <c r="L141" s="110"/>
      <c r="M141" s="110">
        <f t="shared" si="33"/>
        <v>0</v>
      </c>
    </row>
    <row r="142" spans="1:13" ht="15.75" x14ac:dyDescent="0.25">
      <c r="A142" s="85">
        <v>2</v>
      </c>
      <c r="B142" s="85">
        <v>6</v>
      </c>
      <c r="C142" s="92">
        <v>1</v>
      </c>
      <c r="D142" s="85">
        <v>8</v>
      </c>
      <c r="E142" s="119"/>
      <c r="F142" s="127" t="s">
        <v>111</v>
      </c>
      <c r="G142" s="108"/>
      <c r="H142" s="110"/>
      <c r="I142" s="12"/>
      <c r="J142" s="110"/>
      <c r="K142" s="110"/>
      <c r="L142" s="110"/>
      <c r="M142" s="110">
        <f t="shared" si="33"/>
        <v>0</v>
      </c>
    </row>
    <row r="143" spans="1:13" ht="31.5" x14ac:dyDescent="0.25">
      <c r="A143" s="85">
        <v>2</v>
      </c>
      <c r="B143" s="85">
        <v>6</v>
      </c>
      <c r="C143" s="92">
        <v>1</v>
      </c>
      <c r="D143" s="85">
        <v>9</v>
      </c>
      <c r="E143" s="119"/>
      <c r="F143" s="127" t="s">
        <v>112</v>
      </c>
      <c r="G143" s="108"/>
      <c r="H143" s="110"/>
      <c r="I143" s="12"/>
      <c r="J143" s="110"/>
      <c r="K143" s="110"/>
      <c r="L143" s="110"/>
      <c r="M143" s="110">
        <f t="shared" si="33"/>
        <v>0</v>
      </c>
    </row>
    <row r="144" spans="1:13" ht="15.75" x14ac:dyDescent="0.25">
      <c r="A144" s="85"/>
      <c r="B144" s="85"/>
      <c r="C144" s="92"/>
      <c r="D144" s="85"/>
      <c r="E144" s="93"/>
      <c r="F144" s="128"/>
      <c r="G144" s="125"/>
      <c r="H144" s="96"/>
      <c r="I144" s="6">
        <f>+G144</f>
        <v>0</v>
      </c>
      <c r="J144" s="96"/>
      <c r="K144" s="96"/>
      <c r="L144" s="96"/>
      <c r="M144" s="96"/>
    </row>
    <row r="145" spans="1:13" ht="32.25" thickBot="1" x14ac:dyDescent="0.3">
      <c r="A145" s="85">
        <v>2</v>
      </c>
      <c r="B145" s="85">
        <v>6</v>
      </c>
      <c r="C145" s="92">
        <v>2</v>
      </c>
      <c r="D145" s="85"/>
      <c r="E145" s="93"/>
      <c r="F145" s="128" t="s">
        <v>113</v>
      </c>
      <c r="G145" s="95">
        <f t="shared" ref="G145:M145" si="34">G146+G147</f>
        <v>0</v>
      </c>
      <c r="H145" s="117">
        <f t="shared" si="34"/>
        <v>0</v>
      </c>
      <c r="I145" s="19" t="e">
        <f t="shared" si="34"/>
        <v>#REF!</v>
      </c>
      <c r="J145" s="117">
        <f t="shared" si="34"/>
        <v>0</v>
      </c>
      <c r="K145" s="117">
        <f t="shared" si="34"/>
        <v>0</v>
      </c>
      <c r="L145" s="117">
        <f t="shared" si="34"/>
        <v>0</v>
      </c>
      <c r="M145" s="117">
        <f t="shared" si="34"/>
        <v>0</v>
      </c>
    </row>
    <row r="146" spans="1:13" ht="15.75" x14ac:dyDescent="0.25">
      <c r="A146" s="85">
        <v>2</v>
      </c>
      <c r="B146" s="85">
        <v>6</v>
      </c>
      <c r="C146" s="92">
        <v>2</v>
      </c>
      <c r="D146" s="85">
        <v>1</v>
      </c>
      <c r="E146" s="119"/>
      <c r="F146" s="106" t="s">
        <v>114</v>
      </c>
      <c r="G146" s="108"/>
      <c r="H146" s="110">
        <v>0</v>
      </c>
      <c r="I146" s="12">
        <v>0</v>
      </c>
      <c r="J146" s="110">
        <v>0</v>
      </c>
      <c r="K146" s="110"/>
      <c r="L146" s="110"/>
      <c r="M146" s="110">
        <f>+H146+J146+K146+L146</f>
        <v>0</v>
      </c>
    </row>
    <row r="147" spans="1:13" ht="15.75" x14ac:dyDescent="0.25">
      <c r="A147" s="85">
        <v>2</v>
      </c>
      <c r="B147" s="85">
        <v>6</v>
      </c>
      <c r="C147" s="92">
        <v>2</v>
      </c>
      <c r="D147" s="85">
        <v>3</v>
      </c>
      <c r="E147" s="119"/>
      <c r="F147" s="106" t="s">
        <v>115</v>
      </c>
      <c r="G147" s="108"/>
      <c r="H147" s="110">
        <f>G147*12</f>
        <v>0</v>
      </c>
      <c r="I147" s="12" t="e">
        <f>+G147-#REF!</f>
        <v>#REF!</v>
      </c>
      <c r="J147" s="110"/>
      <c r="K147" s="110"/>
      <c r="L147" s="110"/>
      <c r="M147" s="110">
        <f>+H147+J147+K147+L147</f>
        <v>0</v>
      </c>
    </row>
    <row r="148" spans="1:13" ht="15.75" x14ac:dyDescent="0.25">
      <c r="A148" s="85"/>
      <c r="B148" s="85"/>
      <c r="C148" s="92"/>
      <c r="D148" s="85"/>
      <c r="E148" s="93"/>
      <c r="F148" s="104"/>
      <c r="G148" s="125"/>
      <c r="H148" s="96"/>
      <c r="I148" s="6"/>
      <c r="J148" s="96"/>
      <c r="K148" s="96"/>
      <c r="L148" s="96"/>
      <c r="M148" s="96"/>
    </row>
    <row r="149" spans="1:13" ht="32.25" thickBot="1" x14ac:dyDescent="0.3">
      <c r="A149" s="85">
        <v>2</v>
      </c>
      <c r="B149" s="85">
        <v>6</v>
      </c>
      <c r="C149" s="92">
        <v>4</v>
      </c>
      <c r="D149" s="85"/>
      <c r="E149" s="93"/>
      <c r="F149" s="104" t="s">
        <v>116</v>
      </c>
      <c r="G149" s="125">
        <f>G151+G152+G150</f>
        <v>0</v>
      </c>
      <c r="H149" s="110">
        <f t="shared" ref="H149:M149" si="35">H150+H151</f>
        <v>0</v>
      </c>
      <c r="I149" s="12">
        <f t="shared" si="35"/>
        <v>0</v>
      </c>
      <c r="J149" s="110">
        <f t="shared" si="35"/>
        <v>0</v>
      </c>
      <c r="K149" s="110">
        <f t="shared" si="35"/>
        <v>0</v>
      </c>
      <c r="L149" s="110">
        <f t="shared" si="35"/>
        <v>0</v>
      </c>
      <c r="M149" s="110">
        <f t="shared" si="35"/>
        <v>0</v>
      </c>
    </row>
    <row r="150" spans="1:13" ht="31.5" x14ac:dyDescent="0.25">
      <c r="A150" s="85">
        <v>2</v>
      </c>
      <c r="B150" s="85">
        <v>6</v>
      </c>
      <c r="C150" s="92">
        <v>4</v>
      </c>
      <c r="D150" s="85"/>
      <c r="E150" s="93"/>
      <c r="F150" s="127" t="s">
        <v>116</v>
      </c>
      <c r="G150" s="100"/>
      <c r="H150" s="109">
        <v>0</v>
      </c>
      <c r="I150" s="13">
        <v>0</v>
      </c>
      <c r="J150" s="109">
        <v>0</v>
      </c>
      <c r="K150" s="109"/>
      <c r="L150" s="109"/>
      <c r="M150" s="109">
        <f>+H150+J150+K150+L150</f>
        <v>0</v>
      </c>
    </row>
    <row r="151" spans="1:13" ht="36" customHeight="1" x14ac:dyDescent="0.25">
      <c r="A151" s="85">
        <v>2</v>
      </c>
      <c r="B151" s="85">
        <v>6</v>
      </c>
      <c r="C151" s="92">
        <v>4</v>
      </c>
      <c r="D151" s="85">
        <v>1</v>
      </c>
      <c r="E151" s="85"/>
      <c r="F151" s="127" t="s">
        <v>117</v>
      </c>
      <c r="G151" s="108"/>
      <c r="H151" s="110">
        <v>0</v>
      </c>
      <c r="I151" s="12">
        <v>0</v>
      </c>
      <c r="J151" s="110">
        <v>0</v>
      </c>
      <c r="K151" s="110"/>
      <c r="L151" s="110"/>
      <c r="M151" s="110">
        <f>+H151+J151+K151+L151</f>
        <v>0</v>
      </c>
    </row>
    <row r="152" spans="1:13" ht="15.75" x14ac:dyDescent="0.25">
      <c r="A152" s="85">
        <v>2</v>
      </c>
      <c r="B152" s="85">
        <v>6</v>
      </c>
      <c r="C152" s="92">
        <v>4</v>
      </c>
      <c r="D152" s="85">
        <v>7</v>
      </c>
      <c r="E152" s="85"/>
      <c r="F152" s="127" t="s">
        <v>118</v>
      </c>
      <c r="G152" s="108">
        <v>0</v>
      </c>
      <c r="H152" s="110">
        <v>0</v>
      </c>
      <c r="I152" s="12">
        <v>0</v>
      </c>
      <c r="J152" s="110">
        <v>0</v>
      </c>
      <c r="K152" s="110"/>
      <c r="L152" s="110"/>
      <c r="M152" s="110">
        <v>0</v>
      </c>
    </row>
    <row r="153" spans="1:13" ht="16.5" thickBot="1" x14ac:dyDescent="0.3">
      <c r="A153" s="85"/>
      <c r="B153" s="85"/>
      <c r="C153" s="92"/>
      <c r="D153" s="84"/>
      <c r="E153" s="85"/>
      <c r="F153" s="127"/>
      <c r="G153" s="111"/>
      <c r="H153" s="117"/>
      <c r="I153" s="12"/>
      <c r="J153" s="117"/>
      <c r="K153" s="117"/>
      <c r="L153" s="117"/>
      <c r="M153" s="117"/>
    </row>
    <row r="154" spans="1:13" ht="16.5" thickBot="1" x14ac:dyDescent="0.3">
      <c r="A154" s="137"/>
      <c r="B154" s="137"/>
      <c r="C154" s="138"/>
      <c r="D154" s="139"/>
      <c r="E154" s="139"/>
      <c r="F154" s="140" t="s">
        <v>119</v>
      </c>
      <c r="G154" s="95">
        <f t="shared" ref="G154:M154" si="36">G110+G48+G12</f>
        <v>42039167</v>
      </c>
      <c r="H154" s="165">
        <f t="shared" si="36"/>
        <v>3087103.98</v>
      </c>
      <c r="I154" s="165" t="e">
        <f t="shared" si="36"/>
        <v>#REF!</v>
      </c>
      <c r="J154" s="165">
        <f t="shared" si="36"/>
        <v>3272561.4400000004</v>
      </c>
      <c r="K154" s="165">
        <f t="shared" si="36"/>
        <v>3296314.58</v>
      </c>
      <c r="L154" s="165">
        <f t="shared" si="36"/>
        <v>3958386.4610000001</v>
      </c>
      <c r="M154" s="165">
        <f t="shared" si="36"/>
        <v>13614366.460999999</v>
      </c>
    </row>
    <row r="155" spans="1:13" ht="15.75" x14ac:dyDescent="0.25">
      <c r="A155" s="141"/>
      <c r="B155" s="141"/>
      <c r="C155" s="66"/>
      <c r="D155" s="66"/>
      <c r="E155" s="66"/>
      <c r="F155" s="66"/>
      <c r="G155" s="142"/>
      <c r="H155" s="143"/>
      <c r="I155" s="1"/>
      <c r="J155" s="23"/>
      <c r="K155" s="23"/>
      <c r="L155" s="23"/>
      <c r="M155" s="23"/>
    </row>
    <row r="156" spans="1:13" ht="18" x14ac:dyDescent="0.25">
      <c r="A156" s="141"/>
      <c r="B156" s="141"/>
      <c r="C156" s="66"/>
      <c r="D156" s="66"/>
      <c r="E156" s="144"/>
      <c r="F156" s="145"/>
      <c r="G156" s="142"/>
      <c r="H156" s="146"/>
      <c r="I156" s="31"/>
      <c r="J156" s="23"/>
      <c r="K156" s="23"/>
      <c r="L156" s="23"/>
      <c r="M156" s="23"/>
    </row>
    <row r="157" spans="1:13" ht="18" x14ac:dyDescent="0.25">
      <c r="A157" s="141"/>
      <c r="B157" s="141"/>
      <c r="C157" s="66"/>
      <c r="D157" s="66"/>
      <c r="E157" s="147"/>
      <c r="F157" s="148"/>
      <c r="G157" s="149"/>
      <c r="H157" s="150"/>
      <c r="I157" s="33"/>
      <c r="J157" s="34"/>
      <c r="K157" s="34"/>
      <c r="L157" s="34"/>
      <c r="M157" s="34"/>
    </row>
    <row r="158" spans="1:13" ht="19.5" thickBot="1" x14ac:dyDescent="0.35">
      <c r="A158" s="64"/>
      <c r="B158" s="64"/>
      <c r="C158" s="64"/>
      <c r="D158" s="64"/>
      <c r="E158" s="64"/>
      <c r="F158" s="148"/>
      <c r="G158" s="151"/>
      <c r="H158" s="151"/>
      <c r="I158" s="35"/>
      <c r="J158" s="37"/>
      <c r="K158" s="37"/>
      <c r="L158" s="37"/>
      <c r="M158" s="37"/>
    </row>
    <row r="159" spans="1:13" ht="18.75" x14ac:dyDescent="0.3">
      <c r="A159" s="64"/>
      <c r="B159" s="64"/>
      <c r="C159" s="64"/>
      <c r="D159" s="64"/>
      <c r="E159" s="64"/>
      <c r="F159" s="152" t="s">
        <v>120</v>
      </c>
      <c r="G159" s="151"/>
      <c r="H159" s="151"/>
      <c r="I159" s="32"/>
      <c r="J159" s="39"/>
      <c r="K159" s="39"/>
      <c r="L159" s="39"/>
      <c r="M159" s="39"/>
    </row>
    <row r="160" spans="1:13" ht="18.75" x14ac:dyDescent="0.3">
      <c r="A160" s="64"/>
      <c r="B160" s="64"/>
      <c r="C160" s="64"/>
      <c r="D160" s="64"/>
      <c r="E160" s="64"/>
      <c r="F160" s="148" t="s">
        <v>121</v>
      </c>
      <c r="G160" s="153"/>
      <c r="H160" s="151"/>
      <c r="I160" s="32"/>
      <c r="J160" s="39"/>
      <c r="K160" s="39"/>
      <c r="L160" s="39"/>
      <c r="M160" s="39"/>
    </row>
    <row r="161" spans="1:13" ht="18.75" x14ac:dyDescent="0.3">
      <c r="A161" s="64"/>
      <c r="B161" s="64"/>
      <c r="C161" s="64"/>
      <c r="D161" s="64"/>
      <c r="E161" s="64"/>
      <c r="F161" s="148"/>
      <c r="G161" s="153"/>
      <c r="H161" s="151"/>
      <c r="I161" s="32"/>
      <c r="J161" s="39"/>
      <c r="K161" s="39"/>
      <c r="L161" s="39"/>
      <c r="M161" s="39"/>
    </row>
    <row r="162" spans="1:13" ht="18.75" x14ac:dyDescent="0.3">
      <c r="A162" s="64"/>
      <c r="B162" s="64"/>
      <c r="C162" s="64"/>
      <c r="D162" s="64"/>
      <c r="E162" s="64"/>
      <c r="F162" s="148"/>
      <c r="G162" s="153"/>
      <c r="H162" s="151"/>
      <c r="I162" s="32"/>
      <c r="J162" s="39"/>
      <c r="K162" s="39"/>
      <c r="L162" s="39"/>
      <c r="M162" s="39"/>
    </row>
    <row r="163" spans="1:13" ht="18.75" x14ac:dyDescent="0.3">
      <c r="A163" s="64"/>
      <c r="B163" s="64"/>
      <c r="C163" s="64"/>
      <c r="D163" s="64"/>
      <c r="E163" s="64"/>
      <c r="F163" s="148"/>
      <c r="G163" s="153"/>
      <c r="H163" s="151"/>
      <c r="I163" s="32"/>
      <c r="J163" s="39"/>
      <c r="K163" s="39"/>
      <c r="L163" s="39"/>
      <c r="M163" s="39"/>
    </row>
    <row r="164" spans="1:13" ht="18.75" x14ac:dyDescent="0.3">
      <c r="A164" s="64"/>
      <c r="B164" s="64"/>
      <c r="C164" s="64"/>
      <c r="D164" s="64"/>
      <c r="E164" s="64"/>
      <c r="F164" s="148"/>
      <c r="G164" s="151"/>
      <c r="H164" s="151"/>
      <c r="I164" s="32"/>
      <c r="J164" s="39"/>
      <c r="K164" s="39"/>
      <c r="L164" s="39"/>
      <c r="M164" s="39"/>
    </row>
    <row r="165" spans="1:13" ht="18.75" x14ac:dyDescent="0.3">
      <c r="A165" s="64"/>
      <c r="B165" s="64"/>
      <c r="C165" s="64"/>
      <c r="D165" s="64"/>
      <c r="E165" s="64"/>
      <c r="F165" s="148"/>
      <c r="G165" s="153"/>
      <c r="H165" s="23"/>
      <c r="I165" s="44"/>
      <c r="J165" s="161"/>
      <c r="K165" s="161"/>
      <c r="L165" s="161"/>
      <c r="M165" s="161"/>
    </row>
    <row r="166" spans="1:13" ht="18.75" x14ac:dyDescent="0.3">
      <c r="A166" s="64"/>
      <c r="B166" s="64"/>
      <c r="C166" s="64"/>
      <c r="D166" s="64"/>
      <c r="E166" s="64"/>
      <c r="F166" s="148"/>
      <c r="G166" s="153"/>
      <c r="H166" s="23"/>
      <c r="I166" s="44"/>
      <c r="J166" s="161"/>
      <c r="K166" s="161"/>
      <c r="L166" s="161"/>
      <c r="M166" s="161"/>
    </row>
    <row r="167" spans="1:13" ht="19.5" thickBot="1" x14ac:dyDescent="0.35">
      <c r="A167" s="64"/>
      <c r="B167" s="64"/>
      <c r="C167" s="64"/>
      <c r="D167" s="64"/>
      <c r="E167" s="64"/>
      <c r="F167" s="156"/>
      <c r="G167" s="153"/>
      <c r="H167" s="23"/>
      <c r="I167" s="44"/>
      <c r="J167" s="161"/>
      <c r="K167" s="161"/>
      <c r="L167" s="161"/>
      <c r="M167" s="161"/>
    </row>
    <row r="168" spans="1:13" ht="18.75" x14ac:dyDescent="0.3">
      <c r="A168" s="64"/>
      <c r="B168" s="64"/>
      <c r="C168" s="64"/>
      <c r="D168" s="64"/>
      <c r="E168" s="64"/>
      <c r="F168" s="148" t="s">
        <v>122</v>
      </c>
      <c r="G168" s="153"/>
      <c r="H168" s="23"/>
      <c r="I168" s="44"/>
      <c r="J168" s="161"/>
      <c r="K168" s="161"/>
      <c r="L168" s="161"/>
      <c r="M168" s="161"/>
    </row>
    <row r="169" spans="1:13" ht="18" x14ac:dyDescent="0.25">
      <c r="A169" s="64"/>
      <c r="B169" s="64"/>
      <c r="C169" s="64"/>
      <c r="D169" s="64"/>
      <c r="E169" s="64"/>
      <c r="F169" s="148"/>
      <c r="G169" s="154"/>
      <c r="H169" s="23"/>
      <c r="I169" s="33"/>
      <c r="J169" s="46"/>
      <c r="K169" s="46"/>
      <c r="L169" s="46"/>
      <c r="M169" s="46"/>
    </row>
    <row r="170" spans="1:13" ht="18" x14ac:dyDescent="0.25">
      <c r="A170" s="64"/>
      <c r="B170" s="64"/>
      <c r="C170" s="64"/>
      <c r="D170" s="64"/>
      <c r="E170" s="64"/>
      <c r="F170" s="148"/>
      <c r="G170" s="155"/>
      <c r="H170" s="23"/>
      <c r="I170" s="49"/>
      <c r="J170" s="11"/>
      <c r="K170" s="11"/>
      <c r="L170" s="11"/>
      <c r="M170" s="11"/>
    </row>
    <row r="171" spans="1:13" ht="15.75" x14ac:dyDescent="0.25">
      <c r="A171" s="64"/>
      <c r="B171" s="64"/>
      <c r="C171" s="64"/>
      <c r="D171" s="64"/>
      <c r="E171" s="64"/>
      <c r="F171" s="141"/>
      <c r="G171" s="155"/>
      <c r="H171" s="23"/>
      <c r="I171" s="49"/>
      <c r="J171" s="23"/>
      <c r="K171" s="23"/>
      <c r="L171" s="23"/>
      <c r="M171" s="23"/>
    </row>
    <row r="172" spans="1:13" ht="15.75" x14ac:dyDescent="0.25">
      <c r="A172" s="64"/>
      <c r="B172" s="64"/>
      <c r="C172" s="64"/>
      <c r="D172" s="64"/>
      <c r="E172" s="64"/>
      <c r="F172" s="141"/>
      <c r="G172" s="155"/>
      <c r="H172" s="23"/>
      <c r="I172" s="49"/>
      <c r="J172" s="23"/>
      <c r="K172" s="23"/>
      <c r="L172" s="23"/>
      <c r="M172" s="23"/>
    </row>
    <row r="173" spans="1:13" ht="15.75" x14ac:dyDescent="0.25">
      <c r="A173" s="64"/>
      <c r="B173" s="64"/>
      <c r="C173" s="64"/>
      <c r="D173" s="64"/>
      <c r="E173" s="64"/>
      <c r="F173" s="141"/>
      <c r="G173" s="155"/>
      <c r="H173" s="23"/>
      <c r="I173" s="49"/>
      <c r="J173" s="23"/>
      <c r="K173" s="23"/>
      <c r="L173" s="23"/>
      <c r="M173" s="23"/>
    </row>
    <row r="174" spans="1:13" ht="18" x14ac:dyDescent="0.25">
      <c r="A174" s="64"/>
      <c r="B174" s="64"/>
      <c r="C174" s="64"/>
      <c r="D174" s="64"/>
      <c r="E174" s="64"/>
      <c r="F174" s="64"/>
      <c r="G174" s="157"/>
      <c r="H174" s="23"/>
      <c r="I174" s="48"/>
      <c r="J174" s="23"/>
      <c r="K174" s="23"/>
      <c r="L174" s="23"/>
      <c r="M174" s="23"/>
    </row>
    <row r="175" spans="1:13" ht="18" x14ac:dyDescent="0.25">
      <c r="A175" s="64"/>
      <c r="B175" s="64"/>
      <c r="C175" s="64"/>
      <c r="D175" s="64"/>
      <c r="E175" s="64"/>
      <c r="F175" s="64"/>
      <c r="G175" s="148"/>
      <c r="H175" s="23"/>
      <c r="I175" s="43"/>
      <c r="J175" s="23"/>
      <c r="K175" s="171"/>
      <c r="L175" s="171"/>
      <c r="M175" s="23"/>
    </row>
    <row r="176" spans="1:13" ht="18.75" thickBot="1" x14ac:dyDescent="0.3">
      <c r="A176" s="64"/>
      <c r="B176" s="64"/>
      <c r="C176" s="64"/>
      <c r="D176" s="64"/>
      <c r="E176" s="64"/>
      <c r="F176" s="156"/>
      <c r="G176" s="148"/>
      <c r="H176" s="158"/>
      <c r="I176" s="43"/>
      <c r="J176" s="23"/>
      <c r="K176" s="170"/>
      <c r="L176" s="170"/>
      <c r="M176" s="23"/>
    </row>
    <row r="177" spans="1:13" ht="18" x14ac:dyDescent="0.25">
      <c r="A177" s="64"/>
      <c r="B177" s="64"/>
      <c r="C177" s="64"/>
      <c r="D177" s="64"/>
      <c r="E177" s="64"/>
      <c r="F177" s="148" t="s">
        <v>125</v>
      </c>
      <c r="G177" s="64"/>
      <c r="H177" s="160"/>
      <c r="I177" s="56"/>
      <c r="J177" s="23"/>
      <c r="K177" s="170"/>
      <c r="L177" s="170"/>
      <c r="M177" s="23"/>
    </row>
    <row r="178" spans="1:13" ht="18" x14ac:dyDescent="0.25">
      <c r="A178" s="64"/>
      <c r="B178" s="64"/>
      <c r="C178" s="64"/>
      <c r="D178" s="64"/>
      <c r="E178" s="64"/>
      <c r="F178" s="148"/>
      <c r="G178" s="64"/>
      <c r="H178" s="160"/>
      <c r="I178" s="56"/>
      <c r="J178" s="23"/>
      <c r="K178" s="178"/>
      <c r="L178" s="178"/>
      <c r="M178" s="23"/>
    </row>
    <row r="179" spans="1:13" x14ac:dyDescent="0.25">
      <c r="A179" s="64"/>
      <c r="B179" s="64"/>
      <c r="C179" s="64"/>
      <c r="D179" s="64"/>
      <c r="E179" s="64"/>
      <c r="F179" s="64"/>
      <c r="G179" s="64"/>
      <c r="H179" s="160"/>
      <c r="I179" s="56"/>
      <c r="J179" s="23"/>
      <c r="K179" s="171"/>
      <c r="L179" s="171"/>
      <c r="M179" s="23"/>
    </row>
    <row r="180" spans="1:13" x14ac:dyDescent="0.25">
      <c r="A180" s="64"/>
      <c r="B180" s="64"/>
      <c r="C180" s="64"/>
      <c r="D180" s="64"/>
      <c r="E180" s="64"/>
      <c r="F180" s="64"/>
      <c r="G180" s="64"/>
      <c r="H180" s="160"/>
      <c r="I180" s="23"/>
      <c r="J180" s="23"/>
      <c r="K180" s="171"/>
      <c r="L180" s="171"/>
      <c r="M180" s="23"/>
    </row>
    <row r="181" spans="1:13" x14ac:dyDescent="0.25">
      <c r="A181" s="64"/>
      <c r="B181" s="64"/>
      <c r="C181" s="64"/>
      <c r="D181" s="64"/>
      <c r="E181" s="64"/>
      <c r="G181" s="64"/>
      <c r="H181" s="160"/>
      <c r="I181" s="23"/>
      <c r="J181" s="23"/>
      <c r="K181" s="23"/>
      <c r="L181" s="23"/>
      <c r="M181" s="23"/>
    </row>
    <row r="182" spans="1:13" x14ac:dyDescent="0.25">
      <c r="A182" s="64"/>
      <c r="B182" s="64"/>
      <c r="C182" s="64"/>
      <c r="D182" s="64"/>
      <c r="E182" s="64"/>
      <c r="G182" s="64"/>
      <c r="H182" s="65"/>
      <c r="I182" s="23"/>
      <c r="J182" s="23"/>
      <c r="K182" s="23"/>
      <c r="L182" s="23"/>
      <c r="M182" s="23"/>
    </row>
    <row r="183" spans="1:13" x14ac:dyDescent="0.25">
      <c r="A183" s="64"/>
      <c r="B183" s="64"/>
      <c r="C183" s="64"/>
      <c r="D183" s="64"/>
      <c r="E183" s="64"/>
      <c r="G183" s="64"/>
      <c r="H183" s="65"/>
      <c r="I183" s="23"/>
      <c r="J183" s="23"/>
      <c r="K183" s="23"/>
      <c r="L183" s="23"/>
      <c r="M183" s="23"/>
    </row>
    <row r="184" spans="1:13" x14ac:dyDescent="0.25">
      <c r="A184" s="64"/>
      <c r="B184" s="64"/>
      <c r="C184" s="64"/>
      <c r="D184" s="64"/>
      <c r="E184" s="64"/>
      <c r="G184" s="64"/>
      <c r="H184" s="65"/>
      <c r="I184" s="23"/>
      <c r="J184" s="23"/>
      <c r="K184" s="23"/>
      <c r="L184" s="23"/>
      <c r="M184" s="23"/>
    </row>
    <row r="185" spans="1:13" x14ac:dyDescent="0.25">
      <c r="A185" s="64"/>
      <c r="B185" s="64"/>
      <c r="C185" s="64"/>
      <c r="D185" s="64"/>
      <c r="E185" s="64"/>
      <c r="G185" s="64"/>
      <c r="H185" s="65"/>
      <c r="I185" s="23"/>
      <c r="J185" s="23"/>
      <c r="K185" s="23"/>
      <c r="L185" s="23"/>
      <c r="M185" s="23"/>
    </row>
    <row r="186" spans="1:13" x14ac:dyDescent="0.25">
      <c r="A186" s="64"/>
      <c r="B186" s="64"/>
      <c r="C186" s="64"/>
      <c r="D186" s="64"/>
      <c r="E186" s="64"/>
      <c r="G186" s="64"/>
      <c r="H186" s="65"/>
      <c r="I186" s="23"/>
      <c r="J186" s="23"/>
      <c r="K186" s="23"/>
      <c r="L186" s="23"/>
      <c r="M186" s="23"/>
    </row>
    <row r="187" spans="1:13" x14ac:dyDescent="0.25">
      <c r="A187" s="64"/>
      <c r="B187" s="64"/>
      <c r="C187" s="64"/>
      <c r="D187" s="64"/>
      <c r="E187" s="64"/>
      <c r="G187" s="64"/>
      <c r="H187" s="65"/>
      <c r="I187" s="23"/>
      <c r="J187" s="23"/>
      <c r="K187" s="23"/>
      <c r="L187" s="23"/>
      <c r="M187" s="23"/>
    </row>
    <row r="188" spans="1:13" ht="18" x14ac:dyDescent="0.25">
      <c r="A188" s="64"/>
      <c r="B188" s="64"/>
      <c r="C188" s="64"/>
      <c r="D188" s="64"/>
      <c r="E188" s="64"/>
      <c r="F188" s="148"/>
      <c r="G188" s="64"/>
      <c r="H188" s="65"/>
      <c r="I188" s="23"/>
      <c r="J188" s="23"/>
      <c r="K188" s="23"/>
      <c r="L188" s="23"/>
      <c r="M188" s="23"/>
    </row>
    <row r="189" spans="1:13" x14ac:dyDescent="0.25">
      <c r="A189" s="64"/>
      <c r="B189" s="64"/>
      <c r="C189" s="64"/>
      <c r="D189" s="64"/>
      <c r="E189" s="64"/>
      <c r="F189" s="64"/>
      <c r="G189" s="64"/>
      <c r="H189" s="65"/>
      <c r="I189" s="23"/>
      <c r="J189" s="23"/>
      <c r="K189" s="23"/>
      <c r="L189" s="23"/>
      <c r="M189" s="23"/>
    </row>
    <row r="190" spans="1:13" x14ac:dyDescent="0.25">
      <c r="A190" s="64"/>
      <c r="B190" s="64"/>
      <c r="C190" s="64"/>
      <c r="D190" s="64"/>
      <c r="E190" s="64"/>
      <c r="F190" s="64"/>
      <c r="G190" s="64"/>
      <c r="H190" s="65"/>
      <c r="I190" s="23"/>
      <c r="J190" s="23"/>
      <c r="K190" s="23"/>
      <c r="L190" s="23"/>
      <c r="M190" s="23"/>
    </row>
    <row r="191" spans="1:13" x14ac:dyDescent="0.25">
      <c r="A191" s="64"/>
      <c r="B191" s="64"/>
      <c r="C191" s="64"/>
      <c r="D191" s="64"/>
      <c r="E191" s="64"/>
      <c r="F191" s="64"/>
      <c r="G191" s="64"/>
      <c r="H191" s="65"/>
      <c r="I191" s="23"/>
      <c r="J191" s="23"/>
      <c r="K191" s="23"/>
      <c r="L191" s="23"/>
      <c r="M191" s="23"/>
    </row>
    <row r="192" spans="1:13" x14ac:dyDescent="0.25">
      <c r="H192" s="30"/>
      <c r="I192" s="23"/>
      <c r="J192" s="23"/>
      <c r="K192" s="23"/>
      <c r="L192" s="23"/>
      <c r="M192" s="23"/>
    </row>
    <row r="193" spans="9:13" x14ac:dyDescent="0.25">
      <c r="I193" s="23"/>
      <c r="J193" s="23"/>
      <c r="K193" s="23"/>
      <c r="L193" s="23"/>
      <c r="M193" s="23"/>
    </row>
    <row r="194" spans="9:13" x14ac:dyDescent="0.25">
      <c r="I194" s="23"/>
      <c r="J194" s="23"/>
      <c r="K194" s="23"/>
      <c r="L194" s="23"/>
      <c r="M194" s="23"/>
    </row>
    <row r="195" spans="9:13" x14ac:dyDescent="0.25">
      <c r="I195" s="23"/>
      <c r="J195" s="23"/>
      <c r="K195" s="23"/>
      <c r="L195" s="23"/>
      <c r="M195" s="23"/>
    </row>
    <row r="196" spans="9:13" x14ac:dyDescent="0.25">
      <c r="I196" s="23"/>
      <c r="J196" s="23"/>
      <c r="K196" s="23"/>
      <c r="L196" s="23"/>
      <c r="M196" s="23"/>
    </row>
    <row r="197" spans="9:13" x14ac:dyDescent="0.25">
      <c r="I197" s="23"/>
      <c r="J197" s="23"/>
      <c r="K197" s="23"/>
      <c r="L197" s="23"/>
      <c r="M197" s="23"/>
    </row>
    <row r="198" spans="9:13" x14ac:dyDescent="0.25">
      <c r="I198" s="23"/>
      <c r="J198" s="23"/>
      <c r="K198" s="23"/>
      <c r="L198" s="23"/>
      <c r="M198" s="23"/>
    </row>
    <row r="199" spans="9:13" x14ac:dyDescent="0.25">
      <c r="I199" s="23"/>
      <c r="J199" s="23"/>
      <c r="K199" s="23"/>
      <c r="L199" s="23"/>
      <c r="M199" s="23"/>
    </row>
    <row r="200" spans="9:13" x14ac:dyDescent="0.25">
      <c r="I200" s="23"/>
      <c r="J200" s="23"/>
      <c r="K200" s="23"/>
      <c r="L200" s="23"/>
      <c r="M200" s="23"/>
    </row>
    <row r="201" spans="9:13" x14ac:dyDescent="0.25">
      <c r="I201" s="23"/>
      <c r="J201" s="23"/>
      <c r="K201" s="23"/>
      <c r="L201" s="23"/>
      <c r="M201" s="23"/>
    </row>
    <row r="202" spans="9:13" x14ac:dyDescent="0.25">
      <c r="I202" s="23"/>
      <c r="J202" s="23"/>
      <c r="K202" s="23"/>
      <c r="L202" s="23"/>
      <c r="M202" s="23"/>
    </row>
    <row r="203" spans="9:13" x14ac:dyDescent="0.25">
      <c r="I203" s="23"/>
      <c r="J203" s="23"/>
      <c r="K203" s="23"/>
      <c r="L203" s="23"/>
      <c r="M203" s="23"/>
    </row>
    <row r="204" spans="9:13" x14ac:dyDescent="0.25">
      <c r="I204" s="23"/>
      <c r="J204" s="23"/>
      <c r="K204" s="23"/>
      <c r="L204" s="23"/>
      <c r="M204" s="23"/>
    </row>
    <row r="205" spans="9:13" x14ac:dyDescent="0.25">
      <c r="I205" s="23"/>
      <c r="J205" s="23"/>
      <c r="K205" s="23"/>
      <c r="L205" s="23"/>
      <c r="M205" s="23"/>
    </row>
    <row r="206" spans="9:13" x14ac:dyDescent="0.25">
      <c r="I206" s="23"/>
      <c r="J206" s="23"/>
      <c r="K206" s="23"/>
      <c r="L206" s="23"/>
      <c r="M206" s="23"/>
    </row>
    <row r="207" spans="9:13" x14ac:dyDescent="0.25">
      <c r="I207" s="23"/>
      <c r="J207" s="23"/>
      <c r="K207" s="23"/>
      <c r="L207" s="23"/>
      <c r="M207" s="23"/>
    </row>
    <row r="208" spans="9:13" x14ac:dyDescent="0.25">
      <c r="I208" s="23"/>
      <c r="J208" s="23"/>
      <c r="K208" s="23"/>
      <c r="L208" s="23"/>
      <c r="M208" s="23"/>
    </row>
    <row r="209" spans="9:13" x14ac:dyDescent="0.25">
      <c r="I209" s="23"/>
      <c r="J209" s="23"/>
      <c r="K209" s="23"/>
      <c r="L209" s="23"/>
      <c r="M209" s="23"/>
    </row>
    <row r="210" spans="9:13" x14ac:dyDescent="0.25">
      <c r="I210" s="23"/>
      <c r="J210" s="23"/>
      <c r="K210" s="23"/>
      <c r="L210" s="23"/>
      <c r="M210" s="23"/>
    </row>
    <row r="211" spans="9:13" x14ac:dyDescent="0.25">
      <c r="I211" s="23"/>
      <c r="J211" s="23"/>
      <c r="K211" s="23"/>
      <c r="L211" s="23"/>
      <c r="M211" s="23"/>
    </row>
    <row r="212" spans="9:13" x14ac:dyDescent="0.25">
      <c r="I212" s="23"/>
      <c r="J212" s="23"/>
      <c r="K212" s="23"/>
      <c r="L212" s="23"/>
      <c r="M212" s="23"/>
    </row>
    <row r="213" spans="9:13" x14ac:dyDescent="0.25">
      <c r="I213" s="23"/>
      <c r="J213" s="23"/>
      <c r="K213" s="23"/>
      <c r="L213" s="23"/>
      <c r="M213" s="23"/>
    </row>
    <row r="214" spans="9:13" x14ac:dyDescent="0.25">
      <c r="I214" s="23"/>
      <c r="J214" s="23"/>
      <c r="K214" s="23"/>
      <c r="L214" s="23"/>
      <c r="M214" s="23"/>
    </row>
    <row r="215" spans="9:13" x14ac:dyDescent="0.25">
      <c r="I215" s="23"/>
      <c r="J215" s="23"/>
      <c r="K215" s="23"/>
      <c r="L215" s="23"/>
      <c r="M215" s="23"/>
    </row>
    <row r="216" spans="9:13" x14ac:dyDescent="0.25">
      <c r="I216" s="23"/>
      <c r="J216" s="23"/>
      <c r="K216" s="23"/>
      <c r="L216" s="23"/>
      <c r="M216" s="23"/>
    </row>
    <row r="217" spans="9:13" x14ac:dyDescent="0.25">
      <c r="I217" s="23"/>
      <c r="J217" s="23"/>
      <c r="K217" s="23"/>
      <c r="L217" s="23"/>
      <c r="M217" s="23"/>
    </row>
    <row r="218" spans="9:13" x14ac:dyDescent="0.25">
      <c r="I218" s="23"/>
      <c r="J218" s="23"/>
      <c r="K218" s="23"/>
      <c r="L218" s="23"/>
      <c r="M218" s="23"/>
    </row>
    <row r="219" spans="9:13" x14ac:dyDescent="0.25">
      <c r="I219" s="23"/>
      <c r="J219" s="23"/>
      <c r="K219" s="23"/>
      <c r="L219" s="23"/>
      <c r="M219" s="23"/>
    </row>
    <row r="220" spans="9:13" x14ac:dyDescent="0.25">
      <c r="I220" s="23"/>
      <c r="J220" s="23"/>
      <c r="K220" s="23"/>
      <c r="L220" s="23"/>
      <c r="M220" s="23"/>
    </row>
    <row r="221" spans="9:13" x14ac:dyDescent="0.25">
      <c r="I221" s="23"/>
      <c r="J221" s="23"/>
      <c r="K221" s="23"/>
      <c r="L221" s="23"/>
      <c r="M221" s="23"/>
    </row>
    <row r="222" spans="9:13" x14ac:dyDescent="0.25">
      <c r="I222" s="23"/>
      <c r="J222" s="23"/>
      <c r="K222" s="23"/>
      <c r="L222" s="23"/>
      <c r="M222" s="23"/>
    </row>
    <row r="223" spans="9:13" x14ac:dyDescent="0.25">
      <c r="I223" s="23"/>
      <c r="J223" s="23"/>
      <c r="K223" s="23"/>
      <c r="L223" s="23"/>
      <c r="M223" s="23"/>
    </row>
    <row r="224" spans="9:13" x14ac:dyDescent="0.25">
      <c r="I224" s="23"/>
      <c r="J224" s="23"/>
      <c r="K224" s="23"/>
      <c r="L224" s="23"/>
      <c r="M224" s="23"/>
    </row>
    <row r="225" spans="9:13" x14ac:dyDescent="0.25">
      <c r="I225" s="23"/>
      <c r="J225" s="23"/>
      <c r="K225" s="23"/>
      <c r="L225" s="23"/>
      <c r="M225" s="23"/>
    </row>
    <row r="226" spans="9:13" x14ac:dyDescent="0.25">
      <c r="I226" s="23"/>
      <c r="J226" s="23"/>
      <c r="K226" s="23"/>
      <c r="L226" s="23"/>
      <c r="M226" s="23"/>
    </row>
    <row r="227" spans="9:13" x14ac:dyDescent="0.25">
      <c r="I227" s="23"/>
      <c r="J227" s="23"/>
      <c r="K227" s="23"/>
      <c r="L227" s="23"/>
      <c r="M227" s="23"/>
    </row>
    <row r="228" spans="9:13" x14ac:dyDescent="0.25">
      <c r="I228" s="23"/>
      <c r="J228" s="23"/>
      <c r="K228" s="23"/>
      <c r="L228" s="23"/>
      <c r="M228" s="23"/>
    </row>
    <row r="229" spans="9:13" x14ac:dyDescent="0.25">
      <c r="I229" s="23"/>
      <c r="J229" s="23"/>
      <c r="K229" s="23"/>
      <c r="L229" s="23"/>
      <c r="M229" s="23"/>
    </row>
    <row r="230" spans="9:13" x14ac:dyDescent="0.25">
      <c r="I230" s="23"/>
      <c r="J230" s="23"/>
      <c r="K230" s="23"/>
      <c r="L230" s="23"/>
      <c r="M230" s="23"/>
    </row>
    <row r="231" spans="9:13" x14ac:dyDescent="0.25">
      <c r="I231" s="23"/>
      <c r="J231" s="23"/>
      <c r="K231" s="23"/>
      <c r="L231" s="23"/>
      <c r="M231" s="23"/>
    </row>
    <row r="232" spans="9:13" x14ac:dyDescent="0.25">
      <c r="I232" s="23"/>
      <c r="J232" s="23"/>
      <c r="K232" s="23"/>
      <c r="L232" s="23"/>
      <c r="M232" s="23"/>
    </row>
    <row r="233" spans="9:13" x14ac:dyDescent="0.25">
      <c r="I233" s="23"/>
      <c r="J233" s="23"/>
      <c r="K233" s="23"/>
      <c r="L233" s="23"/>
      <c r="M233" s="23"/>
    </row>
    <row r="234" spans="9:13" x14ac:dyDescent="0.25">
      <c r="I234" s="23"/>
      <c r="J234" s="23"/>
      <c r="K234" s="23"/>
      <c r="L234" s="23"/>
      <c r="M234" s="23"/>
    </row>
    <row r="235" spans="9:13" x14ac:dyDescent="0.25">
      <c r="I235" s="23"/>
      <c r="J235" s="23"/>
      <c r="K235" s="23"/>
      <c r="L235" s="23"/>
      <c r="M235" s="23"/>
    </row>
    <row r="236" spans="9:13" x14ac:dyDescent="0.25">
      <c r="I236" s="23"/>
      <c r="J236" s="23"/>
      <c r="K236" s="23"/>
      <c r="L236" s="23"/>
      <c r="M236" s="23"/>
    </row>
    <row r="237" spans="9:13" x14ac:dyDescent="0.25">
      <c r="I237" s="23"/>
      <c r="J237" s="23"/>
      <c r="K237" s="23"/>
      <c r="L237" s="23"/>
      <c r="M237" s="23"/>
    </row>
    <row r="238" spans="9:13" x14ac:dyDescent="0.25">
      <c r="I238" s="23"/>
      <c r="J238" s="23"/>
      <c r="K238" s="23"/>
      <c r="L238" s="23"/>
      <c r="M238" s="23"/>
    </row>
    <row r="239" spans="9:13" x14ac:dyDescent="0.25">
      <c r="I239" s="23"/>
      <c r="J239" s="23"/>
      <c r="K239" s="23"/>
      <c r="L239" s="23"/>
      <c r="M239" s="23"/>
    </row>
    <row r="240" spans="9:13" x14ac:dyDescent="0.25">
      <c r="I240" s="23"/>
      <c r="J240" s="23"/>
      <c r="K240" s="23"/>
      <c r="L240" s="23"/>
      <c r="M240" s="23"/>
    </row>
    <row r="241" spans="9:13" x14ac:dyDescent="0.25">
      <c r="I241" s="23"/>
      <c r="J241" s="23"/>
      <c r="K241" s="23"/>
      <c r="L241" s="23"/>
      <c r="M241" s="23"/>
    </row>
    <row r="242" spans="9:13" x14ac:dyDescent="0.25">
      <c r="I242" s="23"/>
      <c r="J242" s="23"/>
      <c r="K242" s="23"/>
      <c r="L242" s="23"/>
      <c r="M242" s="23"/>
    </row>
    <row r="243" spans="9:13" x14ac:dyDescent="0.25">
      <c r="I243" s="23"/>
      <c r="J243" s="23"/>
      <c r="K243" s="23"/>
      <c r="L243" s="23"/>
      <c r="M243" s="23"/>
    </row>
    <row r="244" spans="9:13" x14ac:dyDescent="0.25">
      <c r="I244" s="23"/>
      <c r="J244" s="23"/>
      <c r="K244" s="23"/>
      <c r="L244" s="23"/>
      <c r="M244" s="23"/>
    </row>
    <row r="245" spans="9:13" x14ac:dyDescent="0.25">
      <c r="I245" s="23"/>
      <c r="J245" s="23"/>
      <c r="K245" s="23"/>
      <c r="L245" s="23"/>
      <c r="M245" s="23"/>
    </row>
    <row r="246" spans="9:13" x14ac:dyDescent="0.25">
      <c r="I246" s="23"/>
      <c r="J246" s="23"/>
      <c r="K246" s="23"/>
      <c r="L246" s="23"/>
      <c r="M246" s="23"/>
    </row>
    <row r="247" spans="9:13" x14ac:dyDescent="0.25">
      <c r="I247" s="23"/>
      <c r="J247" s="23"/>
      <c r="K247" s="23"/>
      <c r="L247" s="23"/>
      <c r="M247" s="23"/>
    </row>
    <row r="248" spans="9:13" x14ac:dyDescent="0.25">
      <c r="I248" s="23"/>
      <c r="J248" s="23"/>
      <c r="K248" s="23"/>
      <c r="L248" s="23"/>
      <c r="M248" s="23"/>
    </row>
    <row r="249" spans="9:13" x14ac:dyDescent="0.25">
      <c r="I249" s="23"/>
      <c r="J249" s="23"/>
      <c r="K249" s="23"/>
      <c r="L249" s="23"/>
      <c r="M249" s="23"/>
    </row>
    <row r="250" spans="9:13" x14ac:dyDescent="0.25">
      <c r="I250" s="23"/>
      <c r="J250" s="23"/>
      <c r="K250" s="23"/>
      <c r="L250" s="23"/>
      <c r="M250" s="23"/>
    </row>
    <row r="251" spans="9:13" x14ac:dyDescent="0.25">
      <c r="I251" s="23"/>
      <c r="J251" s="23"/>
      <c r="K251" s="23"/>
      <c r="L251" s="23"/>
      <c r="M251" s="23"/>
    </row>
    <row r="252" spans="9:13" x14ac:dyDescent="0.25">
      <c r="I252" s="23"/>
      <c r="J252" s="23"/>
      <c r="K252" s="23"/>
      <c r="L252" s="23"/>
      <c r="M252" s="23"/>
    </row>
    <row r="253" spans="9:13" x14ac:dyDescent="0.25">
      <c r="I253" s="23"/>
      <c r="J253" s="23"/>
      <c r="K253" s="23"/>
      <c r="L253" s="23"/>
      <c r="M253" s="23"/>
    </row>
    <row r="254" spans="9:13" x14ac:dyDescent="0.25">
      <c r="I254" s="23"/>
      <c r="J254" s="23"/>
      <c r="K254" s="23"/>
      <c r="L254" s="23"/>
      <c r="M254" s="23"/>
    </row>
    <row r="255" spans="9:13" x14ac:dyDescent="0.25">
      <c r="I255" s="23"/>
      <c r="J255" s="23"/>
      <c r="K255" s="23"/>
      <c r="L255" s="23"/>
      <c r="M255" s="23"/>
    </row>
    <row r="256" spans="9:13" x14ac:dyDescent="0.25">
      <c r="I256" s="23"/>
      <c r="J256" s="23"/>
      <c r="K256" s="23"/>
      <c r="L256" s="23"/>
      <c r="M256" s="23"/>
    </row>
    <row r="257" spans="9:13" x14ac:dyDescent="0.25">
      <c r="I257" s="23"/>
      <c r="J257" s="23"/>
      <c r="K257" s="23"/>
      <c r="L257" s="23"/>
      <c r="M257" s="23"/>
    </row>
    <row r="258" spans="9:13" x14ac:dyDescent="0.25">
      <c r="I258" s="23"/>
      <c r="J258" s="23"/>
      <c r="K258" s="23"/>
      <c r="L258" s="23"/>
      <c r="M258" s="23"/>
    </row>
    <row r="259" spans="9:13" x14ac:dyDescent="0.25">
      <c r="I259" s="23"/>
      <c r="J259" s="23"/>
      <c r="K259" s="23"/>
      <c r="L259" s="23"/>
      <c r="M259" s="23"/>
    </row>
  </sheetData>
  <mergeCells count="3">
    <mergeCell ref="A5:H5"/>
    <mergeCell ref="A6:H6"/>
    <mergeCell ref="A7:H7"/>
  </mergeCells>
  <pageMargins left="0.70866141732283472" right="0.70866141732283472" top="0" bottom="0.74803149606299213" header="0.31496062992125984" footer="0.31496062992125984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56"/>
  <sheetViews>
    <sheetView topLeftCell="H156" workbookViewId="0">
      <selection activeCell="P162" sqref="P162"/>
    </sheetView>
  </sheetViews>
  <sheetFormatPr baseColWidth="10" defaultColWidth="11.42578125" defaultRowHeight="15" x14ac:dyDescent="0.2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4.5703125" customWidth="1"/>
    <col min="6" max="6" width="39.85546875" customWidth="1"/>
    <col min="7" max="7" width="16.7109375" customWidth="1"/>
    <col min="8" max="8" width="14" style="27" customWidth="1"/>
    <col min="9" max="9" width="23.42578125" hidden="1" customWidth="1"/>
    <col min="10" max="10" width="15.5703125" customWidth="1"/>
    <col min="11" max="11" width="14.85546875" customWidth="1"/>
    <col min="12" max="12" width="16.42578125" customWidth="1"/>
    <col min="13" max="13" width="15.42578125" customWidth="1"/>
    <col min="14" max="14" width="15.7109375" customWidth="1"/>
    <col min="15" max="15" width="15.28515625" customWidth="1"/>
    <col min="16" max="16" width="40.85546875" customWidth="1"/>
    <col min="17" max="17" width="18.7109375" customWidth="1"/>
    <col min="18" max="18" width="17" customWidth="1"/>
    <col min="19" max="19" width="63.85546875" customWidth="1"/>
    <col min="20" max="20" width="38.140625" customWidth="1"/>
    <col min="21" max="21" width="13.85546875" bestFit="1" customWidth="1"/>
    <col min="22" max="22" width="36.7109375" customWidth="1"/>
    <col min="23" max="23" width="14.140625" bestFit="1" customWidth="1"/>
    <col min="24" max="24" width="87.140625" customWidth="1"/>
    <col min="25" max="25" width="37.5703125" customWidth="1"/>
    <col min="26" max="26" width="19.42578125" customWidth="1"/>
    <col min="27" max="27" width="66.42578125" customWidth="1"/>
    <col min="28" max="28" width="28.5703125" customWidth="1"/>
    <col min="29" max="29" width="19.140625" customWidth="1"/>
    <col min="30" max="31" width="14.140625" bestFit="1" customWidth="1"/>
    <col min="32" max="32" width="19.7109375" customWidth="1"/>
    <col min="34" max="34" width="13.140625" bestFit="1" customWidth="1"/>
    <col min="238" max="238" width="4.85546875" bestFit="1" customWidth="1"/>
    <col min="239" max="239" width="5.85546875" bestFit="1" customWidth="1"/>
    <col min="240" max="240" width="7.42578125" bestFit="1" customWidth="1"/>
    <col min="241" max="241" width="8.140625" bestFit="1" customWidth="1"/>
    <col min="242" max="242" width="4.5703125" bestFit="1" customWidth="1"/>
    <col min="243" max="243" width="57.5703125" customWidth="1"/>
    <col min="244" max="244" width="14.28515625" customWidth="1"/>
    <col min="245" max="245" width="0.85546875" customWidth="1"/>
    <col min="246" max="246" width="16.5703125" bestFit="1" customWidth="1"/>
    <col min="247" max="247" width="13.42578125" bestFit="1" customWidth="1"/>
    <col min="494" max="494" width="4.85546875" bestFit="1" customWidth="1"/>
    <col min="495" max="495" width="5.85546875" bestFit="1" customWidth="1"/>
    <col min="496" max="496" width="7.42578125" bestFit="1" customWidth="1"/>
    <col min="497" max="497" width="8.140625" bestFit="1" customWidth="1"/>
    <col min="498" max="498" width="4.5703125" bestFit="1" customWidth="1"/>
    <col min="499" max="499" width="57.5703125" customWidth="1"/>
    <col min="500" max="500" width="14.28515625" customWidth="1"/>
    <col min="501" max="501" width="0.85546875" customWidth="1"/>
    <col min="502" max="502" width="16.5703125" bestFit="1" customWidth="1"/>
    <col min="503" max="503" width="13.42578125" bestFit="1" customWidth="1"/>
    <col min="750" max="750" width="4.85546875" bestFit="1" customWidth="1"/>
    <col min="751" max="751" width="5.85546875" bestFit="1" customWidth="1"/>
    <col min="752" max="752" width="7.42578125" bestFit="1" customWidth="1"/>
    <col min="753" max="753" width="8.140625" bestFit="1" customWidth="1"/>
    <col min="754" max="754" width="4.5703125" bestFit="1" customWidth="1"/>
    <col min="755" max="755" width="57.5703125" customWidth="1"/>
    <col min="756" max="756" width="14.28515625" customWidth="1"/>
    <col min="757" max="757" width="0.85546875" customWidth="1"/>
    <col min="758" max="758" width="16.5703125" bestFit="1" customWidth="1"/>
    <col min="759" max="759" width="13.42578125" bestFit="1" customWidth="1"/>
    <col min="1006" max="1006" width="4.85546875" bestFit="1" customWidth="1"/>
    <col min="1007" max="1007" width="5.85546875" bestFit="1" customWidth="1"/>
    <col min="1008" max="1008" width="7.42578125" bestFit="1" customWidth="1"/>
    <col min="1009" max="1009" width="8.140625" bestFit="1" customWidth="1"/>
    <col min="1010" max="1010" width="4.5703125" bestFit="1" customWidth="1"/>
    <col min="1011" max="1011" width="57.5703125" customWidth="1"/>
    <col min="1012" max="1012" width="14.28515625" customWidth="1"/>
    <col min="1013" max="1013" width="0.85546875" customWidth="1"/>
    <col min="1014" max="1014" width="16.5703125" bestFit="1" customWidth="1"/>
    <col min="1015" max="1015" width="13.42578125" bestFit="1" customWidth="1"/>
    <col min="1262" max="1262" width="4.85546875" bestFit="1" customWidth="1"/>
    <col min="1263" max="1263" width="5.85546875" bestFit="1" customWidth="1"/>
    <col min="1264" max="1264" width="7.42578125" bestFit="1" customWidth="1"/>
    <col min="1265" max="1265" width="8.140625" bestFit="1" customWidth="1"/>
    <col min="1266" max="1266" width="4.5703125" bestFit="1" customWidth="1"/>
    <col min="1267" max="1267" width="57.5703125" customWidth="1"/>
    <col min="1268" max="1268" width="14.28515625" customWidth="1"/>
    <col min="1269" max="1269" width="0.85546875" customWidth="1"/>
    <col min="1270" max="1270" width="16.5703125" bestFit="1" customWidth="1"/>
    <col min="1271" max="1271" width="13.42578125" bestFit="1" customWidth="1"/>
    <col min="1518" max="1518" width="4.85546875" bestFit="1" customWidth="1"/>
    <col min="1519" max="1519" width="5.85546875" bestFit="1" customWidth="1"/>
    <col min="1520" max="1520" width="7.42578125" bestFit="1" customWidth="1"/>
    <col min="1521" max="1521" width="8.140625" bestFit="1" customWidth="1"/>
    <col min="1522" max="1522" width="4.5703125" bestFit="1" customWidth="1"/>
    <col min="1523" max="1523" width="57.5703125" customWidth="1"/>
    <col min="1524" max="1524" width="14.28515625" customWidth="1"/>
    <col min="1525" max="1525" width="0.85546875" customWidth="1"/>
    <col min="1526" max="1526" width="16.5703125" bestFit="1" customWidth="1"/>
    <col min="1527" max="1527" width="13.42578125" bestFit="1" customWidth="1"/>
    <col min="1774" max="1774" width="4.85546875" bestFit="1" customWidth="1"/>
    <col min="1775" max="1775" width="5.85546875" bestFit="1" customWidth="1"/>
    <col min="1776" max="1776" width="7.42578125" bestFit="1" customWidth="1"/>
    <col min="1777" max="1777" width="8.140625" bestFit="1" customWidth="1"/>
    <col min="1778" max="1778" width="4.5703125" bestFit="1" customWidth="1"/>
    <col min="1779" max="1779" width="57.5703125" customWidth="1"/>
    <col min="1780" max="1780" width="14.28515625" customWidth="1"/>
    <col min="1781" max="1781" width="0.85546875" customWidth="1"/>
    <col min="1782" max="1782" width="16.5703125" bestFit="1" customWidth="1"/>
    <col min="1783" max="1783" width="13.42578125" bestFit="1" customWidth="1"/>
    <col min="2030" max="2030" width="4.85546875" bestFit="1" customWidth="1"/>
    <col min="2031" max="2031" width="5.85546875" bestFit="1" customWidth="1"/>
    <col min="2032" max="2032" width="7.42578125" bestFit="1" customWidth="1"/>
    <col min="2033" max="2033" width="8.140625" bestFit="1" customWidth="1"/>
    <col min="2034" max="2034" width="4.5703125" bestFit="1" customWidth="1"/>
    <col min="2035" max="2035" width="57.5703125" customWidth="1"/>
    <col min="2036" max="2036" width="14.28515625" customWidth="1"/>
    <col min="2037" max="2037" width="0.85546875" customWidth="1"/>
    <col min="2038" max="2038" width="16.5703125" bestFit="1" customWidth="1"/>
    <col min="2039" max="2039" width="13.42578125" bestFit="1" customWidth="1"/>
    <col min="2286" max="2286" width="4.85546875" bestFit="1" customWidth="1"/>
    <col min="2287" max="2287" width="5.85546875" bestFit="1" customWidth="1"/>
    <col min="2288" max="2288" width="7.42578125" bestFit="1" customWidth="1"/>
    <col min="2289" max="2289" width="8.140625" bestFit="1" customWidth="1"/>
    <col min="2290" max="2290" width="4.5703125" bestFit="1" customWidth="1"/>
    <col min="2291" max="2291" width="57.5703125" customWidth="1"/>
    <col min="2292" max="2292" width="14.28515625" customWidth="1"/>
    <col min="2293" max="2293" width="0.85546875" customWidth="1"/>
    <col min="2294" max="2294" width="16.5703125" bestFit="1" customWidth="1"/>
    <col min="2295" max="2295" width="13.42578125" bestFit="1" customWidth="1"/>
    <col min="2542" max="2542" width="4.85546875" bestFit="1" customWidth="1"/>
    <col min="2543" max="2543" width="5.85546875" bestFit="1" customWidth="1"/>
    <col min="2544" max="2544" width="7.42578125" bestFit="1" customWidth="1"/>
    <col min="2545" max="2545" width="8.140625" bestFit="1" customWidth="1"/>
    <col min="2546" max="2546" width="4.5703125" bestFit="1" customWidth="1"/>
    <col min="2547" max="2547" width="57.5703125" customWidth="1"/>
    <col min="2548" max="2548" width="14.28515625" customWidth="1"/>
    <col min="2549" max="2549" width="0.85546875" customWidth="1"/>
    <col min="2550" max="2550" width="16.5703125" bestFit="1" customWidth="1"/>
    <col min="2551" max="2551" width="13.42578125" bestFit="1" customWidth="1"/>
    <col min="2798" max="2798" width="4.85546875" bestFit="1" customWidth="1"/>
    <col min="2799" max="2799" width="5.85546875" bestFit="1" customWidth="1"/>
    <col min="2800" max="2800" width="7.42578125" bestFit="1" customWidth="1"/>
    <col min="2801" max="2801" width="8.140625" bestFit="1" customWidth="1"/>
    <col min="2802" max="2802" width="4.5703125" bestFit="1" customWidth="1"/>
    <col min="2803" max="2803" width="57.5703125" customWidth="1"/>
    <col min="2804" max="2804" width="14.28515625" customWidth="1"/>
    <col min="2805" max="2805" width="0.85546875" customWidth="1"/>
    <col min="2806" max="2806" width="16.5703125" bestFit="1" customWidth="1"/>
    <col min="2807" max="2807" width="13.42578125" bestFit="1" customWidth="1"/>
    <col min="3054" max="3054" width="4.85546875" bestFit="1" customWidth="1"/>
    <col min="3055" max="3055" width="5.85546875" bestFit="1" customWidth="1"/>
    <col min="3056" max="3056" width="7.42578125" bestFit="1" customWidth="1"/>
    <col min="3057" max="3057" width="8.140625" bestFit="1" customWidth="1"/>
    <col min="3058" max="3058" width="4.5703125" bestFit="1" customWidth="1"/>
    <col min="3059" max="3059" width="57.5703125" customWidth="1"/>
    <col min="3060" max="3060" width="14.28515625" customWidth="1"/>
    <col min="3061" max="3061" width="0.85546875" customWidth="1"/>
    <col min="3062" max="3062" width="16.5703125" bestFit="1" customWidth="1"/>
    <col min="3063" max="3063" width="13.42578125" bestFit="1" customWidth="1"/>
    <col min="3310" max="3310" width="4.85546875" bestFit="1" customWidth="1"/>
    <col min="3311" max="3311" width="5.85546875" bestFit="1" customWidth="1"/>
    <col min="3312" max="3312" width="7.42578125" bestFit="1" customWidth="1"/>
    <col min="3313" max="3313" width="8.140625" bestFit="1" customWidth="1"/>
    <col min="3314" max="3314" width="4.5703125" bestFit="1" customWidth="1"/>
    <col min="3315" max="3315" width="57.5703125" customWidth="1"/>
    <col min="3316" max="3316" width="14.28515625" customWidth="1"/>
    <col min="3317" max="3317" width="0.85546875" customWidth="1"/>
    <col min="3318" max="3318" width="16.5703125" bestFit="1" customWidth="1"/>
    <col min="3319" max="3319" width="13.42578125" bestFit="1" customWidth="1"/>
    <col min="3566" max="3566" width="4.85546875" bestFit="1" customWidth="1"/>
    <col min="3567" max="3567" width="5.85546875" bestFit="1" customWidth="1"/>
    <col min="3568" max="3568" width="7.42578125" bestFit="1" customWidth="1"/>
    <col min="3569" max="3569" width="8.140625" bestFit="1" customWidth="1"/>
    <col min="3570" max="3570" width="4.5703125" bestFit="1" customWidth="1"/>
    <col min="3571" max="3571" width="57.5703125" customWidth="1"/>
    <col min="3572" max="3572" width="14.28515625" customWidth="1"/>
    <col min="3573" max="3573" width="0.85546875" customWidth="1"/>
    <col min="3574" max="3574" width="16.5703125" bestFit="1" customWidth="1"/>
    <col min="3575" max="3575" width="13.42578125" bestFit="1" customWidth="1"/>
    <col min="3822" max="3822" width="4.85546875" bestFit="1" customWidth="1"/>
    <col min="3823" max="3823" width="5.85546875" bestFit="1" customWidth="1"/>
    <col min="3824" max="3824" width="7.42578125" bestFit="1" customWidth="1"/>
    <col min="3825" max="3825" width="8.140625" bestFit="1" customWidth="1"/>
    <col min="3826" max="3826" width="4.5703125" bestFit="1" customWidth="1"/>
    <col min="3827" max="3827" width="57.5703125" customWidth="1"/>
    <col min="3828" max="3828" width="14.28515625" customWidth="1"/>
    <col min="3829" max="3829" width="0.85546875" customWidth="1"/>
    <col min="3830" max="3830" width="16.5703125" bestFit="1" customWidth="1"/>
    <col min="3831" max="3831" width="13.42578125" bestFit="1" customWidth="1"/>
    <col min="4078" max="4078" width="4.85546875" bestFit="1" customWidth="1"/>
    <col min="4079" max="4079" width="5.85546875" bestFit="1" customWidth="1"/>
    <col min="4080" max="4080" width="7.42578125" bestFit="1" customWidth="1"/>
    <col min="4081" max="4081" width="8.140625" bestFit="1" customWidth="1"/>
    <col min="4082" max="4082" width="4.5703125" bestFit="1" customWidth="1"/>
    <col min="4083" max="4083" width="57.5703125" customWidth="1"/>
    <col min="4084" max="4084" width="14.28515625" customWidth="1"/>
    <col min="4085" max="4085" width="0.85546875" customWidth="1"/>
    <col min="4086" max="4086" width="16.5703125" bestFit="1" customWidth="1"/>
    <col min="4087" max="4087" width="13.42578125" bestFit="1" customWidth="1"/>
    <col min="4334" max="4334" width="4.85546875" bestFit="1" customWidth="1"/>
    <col min="4335" max="4335" width="5.85546875" bestFit="1" customWidth="1"/>
    <col min="4336" max="4336" width="7.42578125" bestFit="1" customWidth="1"/>
    <col min="4337" max="4337" width="8.140625" bestFit="1" customWidth="1"/>
    <col min="4338" max="4338" width="4.5703125" bestFit="1" customWidth="1"/>
    <col min="4339" max="4339" width="57.5703125" customWidth="1"/>
    <col min="4340" max="4340" width="14.28515625" customWidth="1"/>
    <col min="4341" max="4341" width="0.85546875" customWidth="1"/>
    <col min="4342" max="4342" width="16.5703125" bestFit="1" customWidth="1"/>
    <col min="4343" max="4343" width="13.42578125" bestFit="1" customWidth="1"/>
    <col min="4590" max="4590" width="4.85546875" bestFit="1" customWidth="1"/>
    <col min="4591" max="4591" width="5.85546875" bestFit="1" customWidth="1"/>
    <col min="4592" max="4592" width="7.42578125" bestFit="1" customWidth="1"/>
    <col min="4593" max="4593" width="8.140625" bestFit="1" customWidth="1"/>
    <col min="4594" max="4594" width="4.5703125" bestFit="1" customWidth="1"/>
    <col min="4595" max="4595" width="57.5703125" customWidth="1"/>
    <col min="4596" max="4596" width="14.28515625" customWidth="1"/>
    <col min="4597" max="4597" width="0.85546875" customWidth="1"/>
    <col min="4598" max="4598" width="16.5703125" bestFit="1" customWidth="1"/>
    <col min="4599" max="4599" width="13.42578125" bestFit="1" customWidth="1"/>
    <col min="4846" max="4846" width="4.85546875" bestFit="1" customWidth="1"/>
    <col min="4847" max="4847" width="5.85546875" bestFit="1" customWidth="1"/>
    <col min="4848" max="4848" width="7.42578125" bestFit="1" customWidth="1"/>
    <col min="4849" max="4849" width="8.140625" bestFit="1" customWidth="1"/>
    <col min="4850" max="4850" width="4.5703125" bestFit="1" customWidth="1"/>
    <col min="4851" max="4851" width="57.5703125" customWidth="1"/>
    <col min="4852" max="4852" width="14.28515625" customWidth="1"/>
    <col min="4853" max="4853" width="0.85546875" customWidth="1"/>
    <col min="4854" max="4854" width="16.5703125" bestFit="1" customWidth="1"/>
    <col min="4855" max="4855" width="13.42578125" bestFit="1" customWidth="1"/>
    <col min="5102" max="5102" width="4.85546875" bestFit="1" customWidth="1"/>
    <col min="5103" max="5103" width="5.85546875" bestFit="1" customWidth="1"/>
    <col min="5104" max="5104" width="7.42578125" bestFit="1" customWidth="1"/>
    <col min="5105" max="5105" width="8.140625" bestFit="1" customWidth="1"/>
    <col min="5106" max="5106" width="4.5703125" bestFit="1" customWidth="1"/>
    <col min="5107" max="5107" width="57.5703125" customWidth="1"/>
    <col min="5108" max="5108" width="14.28515625" customWidth="1"/>
    <col min="5109" max="5109" width="0.85546875" customWidth="1"/>
    <col min="5110" max="5110" width="16.5703125" bestFit="1" customWidth="1"/>
    <col min="5111" max="5111" width="13.42578125" bestFit="1" customWidth="1"/>
    <col min="5358" max="5358" width="4.85546875" bestFit="1" customWidth="1"/>
    <col min="5359" max="5359" width="5.85546875" bestFit="1" customWidth="1"/>
    <col min="5360" max="5360" width="7.42578125" bestFit="1" customWidth="1"/>
    <col min="5361" max="5361" width="8.140625" bestFit="1" customWidth="1"/>
    <col min="5362" max="5362" width="4.5703125" bestFit="1" customWidth="1"/>
    <col min="5363" max="5363" width="57.5703125" customWidth="1"/>
    <col min="5364" max="5364" width="14.28515625" customWidth="1"/>
    <col min="5365" max="5365" width="0.85546875" customWidth="1"/>
    <col min="5366" max="5366" width="16.5703125" bestFit="1" customWidth="1"/>
    <col min="5367" max="5367" width="13.42578125" bestFit="1" customWidth="1"/>
    <col min="5614" max="5614" width="4.85546875" bestFit="1" customWidth="1"/>
    <col min="5615" max="5615" width="5.85546875" bestFit="1" customWidth="1"/>
    <col min="5616" max="5616" width="7.42578125" bestFit="1" customWidth="1"/>
    <col min="5617" max="5617" width="8.140625" bestFit="1" customWidth="1"/>
    <col min="5618" max="5618" width="4.5703125" bestFit="1" customWidth="1"/>
    <col min="5619" max="5619" width="57.5703125" customWidth="1"/>
    <col min="5620" max="5620" width="14.28515625" customWidth="1"/>
    <col min="5621" max="5621" width="0.85546875" customWidth="1"/>
    <col min="5622" max="5622" width="16.5703125" bestFit="1" customWidth="1"/>
    <col min="5623" max="5623" width="13.42578125" bestFit="1" customWidth="1"/>
    <col min="5870" max="5870" width="4.85546875" bestFit="1" customWidth="1"/>
    <col min="5871" max="5871" width="5.85546875" bestFit="1" customWidth="1"/>
    <col min="5872" max="5872" width="7.42578125" bestFit="1" customWidth="1"/>
    <col min="5873" max="5873" width="8.140625" bestFit="1" customWidth="1"/>
    <col min="5874" max="5874" width="4.5703125" bestFit="1" customWidth="1"/>
    <col min="5875" max="5875" width="57.5703125" customWidth="1"/>
    <col min="5876" max="5876" width="14.28515625" customWidth="1"/>
    <col min="5877" max="5877" width="0.85546875" customWidth="1"/>
    <col min="5878" max="5878" width="16.5703125" bestFit="1" customWidth="1"/>
    <col min="5879" max="5879" width="13.42578125" bestFit="1" customWidth="1"/>
    <col min="6126" max="6126" width="4.85546875" bestFit="1" customWidth="1"/>
    <col min="6127" max="6127" width="5.85546875" bestFit="1" customWidth="1"/>
    <col min="6128" max="6128" width="7.42578125" bestFit="1" customWidth="1"/>
    <col min="6129" max="6129" width="8.140625" bestFit="1" customWidth="1"/>
    <col min="6130" max="6130" width="4.5703125" bestFit="1" customWidth="1"/>
    <col min="6131" max="6131" width="57.5703125" customWidth="1"/>
    <col min="6132" max="6132" width="14.28515625" customWidth="1"/>
    <col min="6133" max="6133" width="0.85546875" customWidth="1"/>
    <col min="6134" max="6134" width="16.5703125" bestFit="1" customWidth="1"/>
    <col min="6135" max="6135" width="13.42578125" bestFit="1" customWidth="1"/>
    <col min="6382" max="6382" width="4.85546875" bestFit="1" customWidth="1"/>
    <col min="6383" max="6383" width="5.85546875" bestFit="1" customWidth="1"/>
    <col min="6384" max="6384" width="7.42578125" bestFit="1" customWidth="1"/>
    <col min="6385" max="6385" width="8.140625" bestFit="1" customWidth="1"/>
    <col min="6386" max="6386" width="4.5703125" bestFit="1" customWidth="1"/>
    <col min="6387" max="6387" width="57.5703125" customWidth="1"/>
    <col min="6388" max="6388" width="14.28515625" customWidth="1"/>
    <col min="6389" max="6389" width="0.85546875" customWidth="1"/>
    <col min="6390" max="6390" width="16.5703125" bestFit="1" customWidth="1"/>
    <col min="6391" max="6391" width="13.42578125" bestFit="1" customWidth="1"/>
    <col min="6638" max="6638" width="4.85546875" bestFit="1" customWidth="1"/>
    <col min="6639" max="6639" width="5.85546875" bestFit="1" customWidth="1"/>
    <col min="6640" max="6640" width="7.42578125" bestFit="1" customWidth="1"/>
    <col min="6641" max="6641" width="8.140625" bestFit="1" customWidth="1"/>
    <col min="6642" max="6642" width="4.5703125" bestFit="1" customWidth="1"/>
    <col min="6643" max="6643" width="57.5703125" customWidth="1"/>
    <col min="6644" max="6644" width="14.28515625" customWidth="1"/>
    <col min="6645" max="6645" width="0.85546875" customWidth="1"/>
    <col min="6646" max="6646" width="16.5703125" bestFit="1" customWidth="1"/>
    <col min="6647" max="6647" width="13.42578125" bestFit="1" customWidth="1"/>
    <col min="6894" max="6894" width="4.85546875" bestFit="1" customWidth="1"/>
    <col min="6895" max="6895" width="5.85546875" bestFit="1" customWidth="1"/>
    <col min="6896" max="6896" width="7.42578125" bestFit="1" customWidth="1"/>
    <col min="6897" max="6897" width="8.140625" bestFit="1" customWidth="1"/>
    <col min="6898" max="6898" width="4.5703125" bestFit="1" customWidth="1"/>
    <col min="6899" max="6899" width="57.5703125" customWidth="1"/>
    <col min="6900" max="6900" width="14.28515625" customWidth="1"/>
    <col min="6901" max="6901" width="0.85546875" customWidth="1"/>
    <col min="6902" max="6902" width="16.5703125" bestFit="1" customWidth="1"/>
    <col min="6903" max="6903" width="13.42578125" bestFit="1" customWidth="1"/>
    <col min="7150" max="7150" width="4.85546875" bestFit="1" customWidth="1"/>
    <col min="7151" max="7151" width="5.85546875" bestFit="1" customWidth="1"/>
    <col min="7152" max="7152" width="7.42578125" bestFit="1" customWidth="1"/>
    <col min="7153" max="7153" width="8.140625" bestFit="1" customWidth="1"/>
    <col min="7154" max="7154" width="4.5703125" bestFit="1" customWidth="1"/>
    <col min="7155" max="7155" width="57.5703125" customWidth="1"/>
    <col min="7156" max="7156" width="14.28515625" customWidth="1"/>
    <col min="7157" max="7157" width="0.85546875" customWidth="1"/>
    <col min="7158" max="7158" width="16.5703125" bestFit="1" customWidth="1"/>
    <col min="7159" max="7159" width="13.42578125" bestFit="1" customWidth="1"/>
    <col min="7406" max="7406" width="4.85546875" bestFit="1" customWidth="1"/>
    <col min="7407" max="7407" width="5.85546875" bestFit="1" customWidth="1"/>
    <col min="7408" max="7408" width="7.42578125" bestFit="1" customWidth="1"/>
    <col min="7409" max="7409" width="8.140625" bestFit="1" customWidth="1"/>
    <col min="7410" max="7410" width="4.5703125" bestFit="1" customWidth="1"/>
    <col min="7411" max="7411" width="57.5703125" customWidth="1"/>
    <col min="7412" max="7412" width="14.28515625" customWidth="1"/>
    <col min="7413" max="7413" width="0.85546875" customWidth="1"/>
    <col min="7414" max="7414" width="16.5703125" bestFit="1" customWidth="1"/>
    <col min="7415" max="7415" width="13.42578125" bestFit="1" customWidth="1"/>
    <col min="7662" max="7662" width="4.85546875" bestFit="1" customWidth="1"/>
    <col min="7663" max="7663" width="5.85546875" bestFit="1" customWidth="1"/>
    <col min="7664" max="7664" width="7.42578125" bestFit="1" customWidth="1"/>
    <col min="7665" max="7665" width="8.140625" bestFit="1" customWidth="1"/>
    <col min="7666" max="7666" width="4.5703125" bestFit="1" customWidth="1"/>
    <col min="7667" max="7667" width="57.5703125" customWidth="1"/>
    <col min="7668" max="7668" width="14.28515625" customWidth="1"/>
    <col min="7669" max="7669" width="0.85546875" customWidth="1"/>
    <col min="7670" max="7670" width="16.5703125" bestFit="1" customWidth="1"/>
    <col min="7671" max="7671" width="13.42578125" bestFit="1" customWidth="1"/>
    <col min="7918" max="7918" width="4.85546875" bestFit="1" customWidth="1"/>
    <col min="7919" max="7919" width="5.85546875" bestFit="1" customWidth="1"/>
    <col min="7920" max="7920" width="7.42578125" bestFit="1" customWidth="1"/>
    <col min="7921" max="7921" width="8.140625" bestFit="1" customWidth="1"/>
    <col min="7922" max="7922" width="4.5703125" bestFit="1" customWidth="1"/>
    <col min="7923" max="7923" width="57.5703125" customWidth="1"/>
    <col min="7924" max="7924" width="14.28515625" customWidth="1"/>
    <col min="7925" max="7925" width="0.85546875" customWidth="1"/>
    <col min="7926" max="7926" width="16.5703125" bestFit="1" customWidth="1"/>
    <col min="7927" max="7927" width="13.42578125" bestFit="1" customWidth="1"/>
    <col min="8174" max="8174" width="4.85546875" bestFit="1" customWidth="1"/>
    <col min="8175" max="8175" width="5.85546875" bestFit="1" customWidth="1"/>
    <col min="8176" max="8176" width="7.42578125" bestFit="1" customWidth="1"/>
    <col min="8177" max="8177" width="8.140625" bestFit="1" customWidth="1"/>
    <col min="8178" max="8178" width="4.5703125" bestFit="1" customWidth="1"/>
    <col min="8179" max="8179" width="57.5703125" customWidth="1"/>
    <col min="8180" max="8180" width="14.28515625" customWidth="1"/>
    <col min="8181" max="8181" width="0.85546875" customWidth="1"/>
    <col min="8182" max="8182" width="16.5703125" bestFit="1" customWidth="1"/>
    <col min="8183" max="8183" width="13.42578125" bestFit="1" customWidth="1"/>
    <col min="8430" max="8430" width="4.85546875" bestFit="1" customWidth="1"/>
    <col min="8431" max="8431" width="5.85546875" bestFit="1" customWidth="1"/>
    <col min="8432" max="8432" width="7.42578125" bestFit="1" customWidth="1"/>
    <col min="8433" max="8433" width="8.140625" bestFit="1" customWidth="1"/>
    <col min="8434" max="8434" width="4.5703125" bestFit="1" customWidth="1"/>
    <col min="8435" max="8435" width="57.5703125" customWidth="1"/>
    <col min="8436" max="8436" width="14.28515625" customWidth="1"/>
    <col min="8437" max="8437" width="0.85546875" customWidth="1"/>
    <col min="8438" max="8438" width="16.5703125" bestFit="1" customWidth="1"/>
    <col min="8439" max="8439" width="13.42578125" bestFit="1" customWidth="1"/>
    <col min="8686" max="8686" width="4.85546875" bestFit="1" customWidth="1"/>
    <col min="8687" max="8687" width="5.85546875" bestFit="1" customWidth="1"/>
    <col min="8688" max="8688" width="7.42578125" bestFit="1" customWidth="1"/>
    <col min="8689" max="8689" width="8.140625" bestFit="1" customWidth="1"/>
    <col min="8690" max="8690" width="4.5703125" bestFit="1" customWidth="1"/>
    <col min="8691" max="8691" width="57.5703125" customWidth="1"/>
    <col min="8692" max="8692" width="14.28515625" customWidth="1"/>
    <col min="8693" max="8693" width="0.85546875" customWidth="1"/>
    <col min="8694" max="8694" width="16.5703125" bestFit="1" customWidth="1"/>
    <col min="8695" max="8695" width="13.42578125" bestFit="1" customWidth="1"/>
    <col min="8942" max="8942" width="4.85546875" bestFit="1" customWidth="1"/>
    <col min="8943" max="8943" width="5.85546875" bestFit="1" customWidth="1"/>
    <col min="8944" max="8944" width="7.42578125" bestFit="1" customWidth="1"/>
    <col min="8945" max="8945" width="8.140625" bestFit="1" customWidth="1"/>
    <col min="8946" max="8946" width="4.5703125" bestFit="1" customWidth="1"/>
    <col min="8947" max="8947" width="57.5703125" customWidth="1"/>
    <col min="8948" max="8948" width="14.28515625" customWidth="1"/>
    <col min="8949" max="8949" width="0.85546875" customWidth="1"/>
    <col min="8950" max="8950" width="16.5703125" bestFit="1" customWidth="1"/>
    <col min="8951" max="8951" width="13.42578125" bestFit="1" customWidth="1"/>
    <col min="9198" max="9198" width="4.85546875" bestFit="1" customWidth="1"/>
    <col min="9199" max="9199" width="5.85546875" bestFit="1" customWidth="1"/>
    <col min="9200" max="9200" width="7.42578125" bestFit="1" customWidth="1"/>
    <col min="9201" max="9201" width="8.140625" bestFit="1" customWidth="1"/>
    <col min="9202" max="9202" width="4.5703125" bestFit="1" customWidth="1"/>
    <col min="9203" max="9203" width="57.5703125" customWidth="1"/>
    <col min="9204" max="9204" width="14.28515625" customWidth="1"/>
    <col min="9205" max="9205" width="0.85546875" customWidth="1"/>
    <col min="9206" max="9206" width="16.5703125" bestFit="1" customWidth="1"/>
    <col min="9207" max="9207" width="13.42578125" bestFit="1" customWidth="1"/>
    <col min="9454" max="9454" width="4.85546875" bestFit="1" customWidth="1"/>
    <col min="9455" max="9455" width="5.85546875" bestFit="1" customWidth="1"/>
    <col min="9456" max="9456" width="7.42578125" bestFit="1" customWidth="1"/>
    <col min="9457" max="9457" width="8.140625" bestFit="1" customWidth="1"/>
    <col min="9458" max="9458" width="4.5703125" bestFit="1" customWidth="1"/>
    <col min="9459" max="9459" width="57.5703125" customWidth="1"/>
    <col min="9460" max="9460" width="14.28515625" customWidth="1"/>
    <col min="9461" max="9461" width="0.85546875" customWidth="1"/>
    <col min="9462" max="9462" width="16.5703125" bestFit="1" customWidth="1"/>
    <col min="9463" max="9463" width="13.42578125" bestFit="1" customWidth="1"/>
    <col min="9710" max="9710" width="4.85546875" bestFit="1" customWidth="1"/>
    <col min="9711" max="9711" width="5.85546875" bestFit="1" customWidth="1"/>
    <col min="9712" max="9712" width="7.42578125" bestFit="1" customWidth="1"/>
    <col min="9713" max="9713" width="8.140625" bestFit="1" customWidth="1"/>
    <col min="9714" max="9714" width="4.5703125" bestFit="1" customWidth="1"/>
    <col min="9715" max="9715" width="57.5703125" customWidth="1"/>
    <col min="9716" max="9716" width="14.28515625" customWidth="1"/>
    <col min="9717" max="9717" width="0.85546875" customWidth="1"/>
    <col min="9718" max="9718" width="16.5703125" bestFit="1" customWidth="1"/>
    <col min="9719" max="9719" width="13.42578125" bestFit="1" customWidth="1"/>
    <col min="9966" max="9966" width="4.85546875" bestFit="1" customWidth="1"/>
    <col min="9967" max="9967" width="5.85546875" bestFit="1" customWidth="1"/>
    <col min="9968" max="9968" width="7.42578125" bestFit="1" customWidth="1"/>
    <col min="9969" max="9969" width="8.140625" bestFit="1" customWidth="1"/>
    <col min="9970" max="9970" width="4.5703125" bestFit="1" customWidth="1"/>
    <col min="9971" max="9971" width="57.5703125" customWidth="1"/>
    <col min="9972" max="9972" width="14.28515625" customWidth="1"/>
    <col min="9973" max="9973" width="0.85546875" customWidth="1"/>
    <col min="9974" max="9974" width="16.5703125" bestFit="1" customWidth="1"/>
    <col min="9975" max="9975" width="13.42578125" bestFit="1" customWidth="1"/>
    <col min="10222" max="10222" width="4.85546875" bestFit="1" customWidth="1"/>
    <col min="10223" max="10223" width="5.85546875" bestFit="1" customWidth="1"/>
    <col min="10224" max="10224" width="7.42578125" bestFit="1" customWidth="1"/>
    <col min="10225" max="10225" width="8.140625" bestFit="1" customWidth="1"/>
    <col min="10226" max="10226" width="4.5703125" bestFit="1" customWidth="1"/>
    <col min="10227" max="10227" width="57.5703125" customWidth="1"/>
    <col min="10228" max="10228" width="14.28515625" customWidth="1"/>
    <col min="10229" max="10229" width="0.85546875" customWidth="1"/>
    <col min="10230" max="10230" width="16.5703125" bestFit="1" customWidth="1"/>
    <col min="10231" max="10231" width="13.42578125" bestFit="1" customWidth="1"/>
    <col min="10478" max="10478" width="4.85546875" bestFit="1" customWidth="1"/>
    <col min="10479" max="10479" width="5.85546875" bestFit="1" customWidth="1"/>
    <col min="10480" max="10480" width="7.42578125" bestFit="1" customWidth="1"/>
    <col min="10481" max="10481" width="8.140625" bestFit="1" customWidth="1"/>
    <col min="10482" max="10482" width="4.5703125" bestFit="1" customWidth="1"/>
    <col min="10483" max="10483" width="57.5703125" customWidth="1"/>
    <col min="10484" max="10484" width="14.28515625" customWidth="1"/>
    <col min="10485" max="10485" width="0.85546875" customWidth="1"/>
    <col min="10486" max="10486" width="16.5703125" bestFit="1" customWidth="1"/>
    <col min="10487" max="10487" width="13.42578125" bestFit="1" customWidth="1"/>
    <col min="10734" max="10734" width="4.85546875" bestFit="1" customWidth="1"/>
    <col min="10735" max="10735" width="5.85546875" bestFit="1" customWidth="1"/>
    <col min="10736" max="10736" width="7.42578125" bestFit="1" customWidth="1"/>
    <col min="10737" max="10737" width="8.140625" bestFit="1" customWidth="1"/>
    <col min="10738" max="10738" width="4.5703125" bestFit="1" customWidth="1"/>
    <col min="10739" max="10739" width="57.5703125" customWidth="1"/>
    <col min="10740" max="10740" width="14.28515625" customWidth="1"/>
    <col min="10741" max="10741" width="0.85546875" customWidth="1"/>
    <col min="10742" max="10742" width="16.5703125" bestFit="1" customWidth="1"/>
    <col min="10743" max="10743" width="13.42578125" bestFit="1" customWidth="1"/>
    <col min="10990" max="10990" width="4.85546875" bestFit="1" customWidth="1"/>
    <col min="10991" max="10991" width="5.85546875" bestFit="1" customWidth="1"/>
    <col min="10992" max="10992" width="7.42578125" bestFit="1" customWidth="1"/>
    <col min="10993" max="10993" width="8.140625" bestFit="1" customWidth="1"/>
    <col min="10994" max="10994" width="4.5703125" bestFit="1" customWidth="1"/>
    <col min="10995" max="10995" width="57.5703125" customWidth="1"/>
    <col min="10996" max="10996" width="14.28515625" customWidth="1"/>
    <col min="10997" max="10997" width="0.85546875" customWidth="1"/>
    <col min="10998" max="10998" width="16.5703125" bestFit="1" customWidth="1"/>
    <col min="10999" max="10999" width="13.42578125" bestFit="1" customWidth="1"/>
    <col min="11246" max="11246" width="4.85546875" bestFit="1" customWidth="1"/>
    <col min="11247" max="11247" width="5.85546875" bestFit="1" customWidth="1"/>
    <col min="11248" max="11248" width="7.42578125" bestFit="1" customWidth="1"/>
    <col min="11249" max="11249" width="8.140625" bestFit="1" customWidth="1"/>
    <col min="11250" max="11250" width="4.5703125" bestFit="1" customWidth="1"/>
    <col min="11251" max="11251" width="57.5703125" customWidth="1"/>
    <col min="11252" max="11252" width="14.28515625" customWidth="1"/>
    <col min="11253" max="11253" width="0.85546875" customWidth="1"/>
    <col min="11254" max="11254" width="16.5703125" bestFit="1" customWidth="1"/>
    <col min="11255" max="11255" width="13.42578125" bestFit="1" customWidth="1"/>
    <col min="11502" max="11502" width="4.85546875" bestFit="1" customWidth="1"/>
    <col min="11503" max="11503" width="5.85546875" bestFit="1" customWidth="1"/>
    <col min="11504" max="11504" width="7.42578125" bestFit="1" customWidth="1"/>
    <col min="11505" max="11505" width="8.140625" bestFit="1" customWidth="1"/>
    <col min="11506" max="11506" width="4.5703125" bestFit="1" customWidth="1"/>
    <col min="11507" max="11507" width="57.5703125" customWidth="1"/>
    <col min="11508" max="11508" width="14.28515625" customWidth="1"/>
    <col min="11509" max="11509" width="0.85546875" customWidth="1"/>
    <col min="11510" max="11510" width="16.5703125" bestFit="1" customWidth="1"/>
    <col min="11511" max="11511" width="13.42578125" bestFit="1" customWidth="1"/>
    <col min="11758" max="11758" width="4.85546875" bestFit="1" customWidth="1"/>
    <col min="11759" max="11759" width="5.85546875" bestFit="1" customWidth="1"/>
    <col min="11760" max="11760" width="7.42578125" bestFit="1" customWidth="1"/>
    <col min="11761" max="11761" width="8.140625" bestFit="1" customWidth="1"/>
    <col min="11762" max="11762" width="4.5703125" bestFit="1" customWidth="1"/>
    <col min="11763" max="11763" width="57.5703125" customWidth="1"/>
    <col min="11764" max="11764" width="14.28515625" customWidth="1"/>
    <col min="11765" max="11765" width="0.85546875" customWidth="1"/>
    <col min="11766" max="11766" width="16.5703125" bestFit="1" customWidth="1"/>
    <col min="11767" max="11767" width="13.42578125" bestFit="1" customWidth="1"/>
    <col min="12014" max="12014" width="4.85546875" bestFit="1" customWidth="1"/>
    <col min="12015" max="12015" width="5.85546875" bestFit="1" customWidth="1"/>
    <col min="12016" max="12016" width="7.42578125" bestFit="1" customWidth="1"/>
    <col min="12017" max="12017" width="8.140625" bestFit="1" customWidth="1"/>
    <col min="12018" max="12018" width="4.5703125" bestFit="1" customWidth="1"/>
    <col min="12019" max="12019" width="57.5703125" customWidth="1"/>
    <col min="12020" max="12020" width="14.28515625" customWidth="1"/>
    <col min="12021" max="12021" width="0.85546875" customWidth="1"/>
    <col min="12022" max="12022" width="16.5703125" bestFit="1" customWidth="1"/>
    <col min="12023" max="12023" width="13.42578125" bestFit="1" customWidth="1"/>
    <col min="12270" max="12270" width="4.85546875" bestFit="1" customWidth="1"/>
    <col min="12271" max="12271" width="5.85546875" bestFit="1" customWidth="1"/>
    <col min="12272" max="12272" width="7.42578125" bestFit="1" customWidth="1"/>
    <col min="12273" max="12273" width="8.140625" bestFit="1" customWidth="1"/>
    <col min="12274" max="12274" width="4.5703125" bestFit="1" customWidth="1"/>
    <col min="12275" max="12275" width="57.5703125" customWidth="1"/>
    <col min="12276" max="12276" width="14.28515625" customWidth="1"/>
    <col min="12277" max="12277" width="0.85546875" customWidth="1"/>
    <col min="12278" max="12278" width="16.5703125" bestFit="1" customWidth="1"/>
    <col min="12279" max="12279" width="13.42578125" bestFit="1" customWidth="1"/>
    <col min="12526" max="12526" width="4.85546875" bestFit="1" customWidth="1"/>
    <col min="12527" max="12527" width="5.85546875" bestFit="1" customWidth="1"/>
    <col min="12528" max="12528" width="7.42578125" bestFit="1" customWidth="1"/>
    <col min="12529" max="12529" width="8.140625" bestFit="1" customWidth="1"/>
    <col min="12530" max="12530" width="4.5703125" bestFit="1" customWidth="1"/>
    <col min="12531" max="12531" width="57.5703125" customWidth="1"/>
    <col min="12532" max="12532" width="14.28515625" customWidth="1"/>
    <col min="12533" max="12533" width="0.85546875" customWidth="1"/>
    <col min="12534" max="12534" width="16.5703125" bestFit="1" customWidth="1"/>
    <col min="12535" max="12535" width="13.42578125" bestFit="1" customWidth="1"/>
    <col min="12782" max="12782" width="4.85546875" bestFit="1" customWidth="1"/>
    <col min="12783" max="12783" width="5.85546875" bestFit="1" customWidth="1"/>
    <col min="12784" max="12784" width="7.42578125" bestFit="1" customWidth="1"/>
    <col min="12785" max="12785" width="8.140625" bestFit="1" customWidth="1"/>
    <col min="12786" max="12786" width="4.5703125" bestFit="1" customWidth="1"/>
    <col min="12787" max="12787" width="57.5703125" customWidth="1"/>
    <col min="12788" max="12788" width="14.28515625" customWidth="1"/>
    <col min="12789" max="12789" width="0.85546875" customWidth="1"/>
    <col min="12790" max="12790" width="16.5703125" bestFit="1" customWidth="1"/>
    <col min="12791" max="12791" width="13.42578125" bestFit="1" customWidth="1"/>
    <col min="13038" max="13038" width="4.85546875" bestFit="1" customWidth="1"/>
    <col min="13039" max="13039" width="5.85546875" bestFit="1" customWidth="1"/>
    <col min="13040" max="13040" width="7.42578125" bestFit="1" customWidth="1"/>
    <col min="13041" max="13041" width="8.140625" bestFit="1" customWidth="1"/>
    <col min="13042" max="13042" width="4.5703125" bestFit="1" customWidth="1"/>
    <col min="13043" max="13043" width="57.5703125" customWidth="1"/>
    <col min="13044" max="13044" width="14.28515625" customWidth="1"/>
    <col min="13045" max="13045" width="0.85546875" customWidth="1"/>
    <col min="13046" max="13046" width="16.5703125" bestFit="1" customWidth="1"/>
    <col min="13047" max="13047" width="13.42578125" bestFit="1" customWidth="1"/>
    <col min="13294" max="13294" width="4.85546875" bestFit="1" customWidth="1"/>
    <col min="13295" max="13295" width="5.85546875" bestFit="1" customWidth="1"/>
    <col min="13296" max="13296" width="7.42578125" bestFit="1" customWidth="1"/>
    <col min="13297" max="13297" width="8.140625" bestFit="1" customWidth="1"/>
    <col min="13298" max="13298" width="4.5703125" bestFit="1" customWidth="1"/>
    <col min="13299" max="13299" width="57.5703125" customWidth="1"/>
    <col min="13300" max="13300" width="14.28515625" customWidth="1"/>
    <col min="13301" max="13301" width="0.85546875" customWidth="1"/>
    <col min="13302" max="13302" width="16.5703125" bestFit="1" customWidth="1"/>
    <col min="13303" max="13303" width="13.42578125" bestFit="1" customWidth="1"/>
    <col min="13550" max="13550" width="4.85546875" bestFit="1" customWidth="1"/>
    <col min="13551" max="13551" width="5.85546875" bestFit="1" customWidth="1"/>
    <col min="13552" max="13552" width="7.42578125" bestFit="1" customWidth="1"/>
    <col min="13553" max="13553" width="8.140625" bestFit="1" customWidth="1"/>
    <col min="13554" max="13554" width="4.5703125" bestFit="1" customWidth="1"/>
    <col min="13555" max="13555" width="57.5703125" customWidth="1"/>
    <col min="13556" max="13556" width="14.28515625" customWidth="1"/>
    <col min="13557" max="13557" width="0.85546875" customWidth="1"/>
    <col min="13558" max="13558" width="16.5703125" bestFit="1" customWidth="1"/>
    <col min="13559" max="13559" width="13.42578125" bestFit="1" customWidth="1"/>
    <col min="13806" max="13806" width="4.85546875" bestFit="1" customWidth="1"/>
    <col min="13807" max="13807" width="5.85546875" bestFit="1" customWidth="1"/>
    <col min="13808" max="13808" width="7.42578125" bestFit="1" customWidth="1"/>
    <col min="13809" max="13809" width="8.140625" bestFit="1" customWidth="1"/>
    <col min="13810" max="13810" width="4.5703125" bestFit="1" customWidth="1"/>
    <col min="13811" max="13811" width="57.5703125" customWidth="1"/>
    <col min="13812" max="13812" width="14.28515625" customWidth="1"/>
    <col min="13813" max="13813" width="0.85546875" customWidth="1"/>
    <col min="13814" max="13814" width="16.5703125" bestFit="1" customWidth="1"/>
    <col min="13815" max="13815" width="13.42578125" bestFit="1" customWidth="1"/>
    <col min="14062" max="14062" width="4.85546875" bestFit="1" customWidth="1"/>
    <col min="14063" max="14063" width="5.85546875" bestFit="1" customWidth="1"/>
    <col min="14064" max="14064" width="7.42578125" bestFit="1" customWidth="1"/>
    <col min="14065" max="14065" width="8.140625" bestFit="1" customWidth="1"/>
    <col min="14066" max="14066" width="4.5703125" bestFit="1" customWidth="1"/>
    <col min="14067" max="14067" width="57.5703125" customWidth="1"/>
    <col min="14068" max="14068" width="14.28515625" customWidth="1"/>
    <col min="14069" max="14069" width="0.85546875" customWidth="1"/>
    <col min="14070" max="14070" width="16.5703125" bestFit="1" customWidth="1"/>
    <col min="14071" max="14071" width="13.42578125" bestFit="1" customWidth="1"/>
    <col min="14318" max="14318" width="4.85546875" bestFit="1" customWidth="1"/>
    <col min="14319" max="14319" width="5.85546875" bestFit="1" customWidth="1"/>
    <col min="14320" max="14320" width="7.42578125" bestFit="1" customWidth="1"/>
    <col min="14321" max="14321" width="8.140625" bestFit="1" customWidth="1"/>
    <col min="14322" max="14322" width="4.5703125" bestFit="1" customWidth="1"/>
    <col min="14323" max="14323" width="57.5703125" customWidth="1"/>
    <col min="14324" max="14324" width="14.28515625" customWidth="1"/>
    <col min="14325" max="14325" width="0.85546875" customWidth="1"/>
    <col min="14326" max="14326" width="16.5703125" bestFit="1" customWidth="1"/>
    <col min="14327" max="14327" width="13.42578125" bestFit="1" customWidth="1"/>
    <col min="14574" max="14574" width="4.85546875" bestFit="1" customWidth="1"/>
    <col min="14575" max="14575" width="5.85546875" bestFit="1" customWidth="1"/>
    <col min="14576" max="14576" width="7.42578125" bestFit="1" customWidth="1"/>
    <col min="14577" max="14577" width="8.140625" bestFit="1" customWidth="1"/>
    <col min="14578" max="14578" width="4.5703125" bestFit="1" customWidth="1"/>
    <col min="14579" max="14579" width="57.5703125" customWidth="1"/>
    <col min="14580" max="14580" width="14.28515625" customWidth="1"/>
    <col min="14581" max="14581" width="0.85546875" customWidth="1"/>
    <col min="14582" max="14582" width="16.5703125" bestFit="1" customWidth="1"/>
    <col min="14583" max="14583" width="13.42578125" bestFit="1" customWidth="1"/>
    <col min="14830" max="14830" width="4.85546875" bestFit="1" customWidth="1"/>
    <col min="14831" max="14831" width="5.85546875" bestFit="1" customWidth="1"/>
    <col min="14832" max="14832" width="7.42578125" bestFit="1" customWidth="1"/>
    <col min="14833" max="14833" width="8.140625" bestFit="1" customWidth="1"/>
    <col min="14834" max="14834" width="4.5703125" bestFit="1" customWidth="1"/>
    <col min="14835" max="14835" width="57.5703125" customWidth="1"/>
    <col min="14836" max="14836" width="14.28515625" customWidth="1"/>
    <col min="14837" max="14837" width="0.85546875" customWidth="1"/>
    <col min="14838" max="14838" width="16.5703125" bestFit="1" customWidth="1"/>
    <col min="14839" max="14839" width="13.42578125" bestFit="1" customWidth="1"/>
    <col min="15086" max="15086" width="4.85546875" bestFit="1" customWidth="1"/>
    <col min="15087" max="15087" width="5.85546875" bestFit="1" customWidth="1"/>
    <col min="15088" max="15088" width="7.42578125" bestFit="1" customWidth="1"/>
    <col min="15089" max="15089" width="8.140625" bestFit="1" customWidth="1"/>
    <col min="15090" max="15090" width="4.5703125" bestFit="1" customWidth="1"/>
    <col min="15091" max="15091" width="57.5703125" customWidth="1"/>
    <col min="15092" max="15092" width="14.28515625" customWidth="1"/>
    <col min="15093" max="15093" width="0.85546875" customWidth="1"/>
    <col min="15094" max="15094" width="16.5703125" bestFit="1" customWidth="1"/>
    <col min="15095" max="15095" width="13.42578125" bestFit="1" customWidth="1"/>
    <col min="15342" max="15342" width="4.85546875" bestFit="1" customWidth="1"/>
    <col min="15343" max="15343" width="5.85546875" bestFit="1" customWidth="1"/>
    <col min="15344" max="15344" width="7.42578125" bestFit="1" customWidth="1"/>
    <col min="15345" max="15345" width="8.140625" bestFit="1" customWidth="1"/>
    <col min="15346" max="15346" width="4.5703125" bestFit="1" customWidth="1"/>
    <col min="15347" max="15347" width="57.5703125" customWidth="1"/>
    <col min="15348" max="15348" width="14.28515625" customWidth="1"/>
    <col min="15349" max="15349" width="0.85546875" customWidth="1"/>
    <col min="15350" max="15350" width="16.5703125" bestFit="1" customWidth="1"/>
    <col min="15351" max="15351" width="13.42578125" bestFit="1" customWidth="1"/>
    <col min="15598" max="15598" width="4.85546875" bestFit="1" customWidth="1"/>
    <col min="15599" max="15599" width="5.85546875" bestFit="1" customWidth="1"/>
    <col min="15600" max="15600" width="7.42578125" bestFit="1" customWidth="1"/>
    <col min="15601" max="15601" width="8.140625" bestFit="1" customWidth="1"/>
    <col min="15602" max="15602" width="4.5703125" bestFit="1" customWidth="1"/>
    <col min="15603" max="15603" width="57.5703125" customWidth="1"/>
    <col min="15604" max="15604" width="14.28515625" customWidth="1"/>
    <col min="15605" max="15605" width="0.85546875" customWidth="1"/>
    <col min="15606" max="15606" width="16.5703125" bestFit="1" customWidth="1"/>
    <col min="15607" max="15607" width="13.42578125" bestFit="1" customWidth="1"/>
    <col min="15854" max="15854" width="4.85546875" bestFit="1" customWidth="1"/>
    <col min="15855" max="15855" width="5.85546875" bestFit="1" customWidth="1"/>
    <col min="15856" max="15856" width="7.42578125" bestFit="1" customWidth="1"/>
    <col min="15857" max="15857" width="8.140625" bestFit="1" customWidth="1"/>
    <col min="15858" max="15858" width="4.5703125" bestFit="1" customWidth="1"/>
    <col min="15859" max="15859" width="57.5703125" customWidth="1"/>
    <col min="15860" max="15860" width="14.28515625" customWidth="1"/>
    <col min="15861" max="15861" width="0.85546875" customWidth="1"/>
    <col min="15862" max="15862" width="16.5703125" bestFit="1" customWidth="1"/>
    <col min="15863" max="15863" width="13.42578125" bestFit="1" customWidth="1"/>
    <col min="16110" max="16110" width="4.85546875" bestFit="1" customWidth="1"/>
    <col min="16111" max="16111" width="5.85546875" bestFit="1" customWidth="1"/>
    <col min="16112" max="16112" width="7.42578125" bestFit="1" customWidth="1"/>
    <col min="16113" max="16113" width="8.140625" bestFit="1" customWidth="1"/>
    <col min="16114" max="16114" width="4.5703125" bestFit="1" customWidth="1"/>
    <col min="16115" max="16115" width="57.5703125" customWidth="1"/>
    <col min="16116" max="16116" width="14.28515625" customWidth="1"/>
    <col min="16117" max="16117" width="0.85546875" customWidth="1"/>
    <col min="16118" max="16118" width="16.5703125" bestFit="1" customWidth="1"/>
    <col min="16119" max="16119" width="13.42578125" bestFit="1" customWidth="1"/>
  </cols>
  <sheetData>
    <row r="1" spans="1:15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15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15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15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15" s="174" customFormat="1" ht="20.25" customHeight="1" x14ac:dyDescent="0.3">
      <c r="A5" s="269" t="str">
        <f>'[1]Estado de flujo de Efectivo'!A1:B1</f>
        <v>Consejo Económico y Social -CES-</v>
      </c>
      <c r="B5" s="269"/>
      <c r="C5" s="269"/>
      <c r="D5" s="269"/>
      <c r="E5" s="269"/>
      <c r="F5" s="269"/>
      <c r="G5" s="269"/>
      <c r="H5" s="269"/>
      <c r="I5" s="33"/>
    </row>
    <row r="6" spans="1:15" s="174" customFormat="1" ht="20.25" customHeight="1" x14ac:dyDescent="0.3">
      <c r="A6" s="269" t="s">
        <v>136</v>
      </c>
      <c r="B6" s="269"/>
      <c r="C6" s="269"/>
      <c r="D6" s="269"/>
      <c r="E6" s="269"/>
      <c r="F6" s="269"/>
      <c r="G6" s="269"/>
      <c r="H6" s="269"/>
      <c r="I6" s="33"/>
    </row>
    <row r="7" spans="1:15" s="174" customFormat="1" ht="20.25" customHeight="1" x14ac:dyDescent="0.3">
      <c r="A7" s="269" t="s">
        <v>0</v>
      </c>
      <c r="B7" s="269"/>
      <c r="C7" s="269"/>
      <c r="D7" s="269"/>
      <c r="E7" s="269"/>
      <c r="F7" s="269"/>
      <c r="G7" s="269"/>
      <c r="H7" s="269"/>
      <c r="I7" s="33"/>
    </row>
    <row r="8" spans="1:15" s="174" customFormat="1" ht="16.5" thickBot="1" x14ac:dyDescent="0.3">
      <c r="A8" s="141"/>
      <c r="B8" s="141"/>
      <c r="C8" s="141"/>
      <c r="D8" s="141"/>
      <c r="E8" s="141"/>
      <c r="F8" s="69"/>
      <c r="G8" s="69"/>
      <c r="H8" s="70"/>
      <c r="I8" s="33"/>
    </row>
    <row r="9" spans="1:15" ht="48" thickBot="1" x14ac:dyDescent="0.3">
      <c r="A9" s="71"/>
      <c r="B9" s="71"/>
      <c r="C9" s="72"/>
      <c r="D9" s="72"/>
      <c r="E9" s="73"/>
      <c r="F9" s="77"/>
      <c r="G9" s="78" t="s">
        <v>126</v>
      </c>
      <c r="H9" s="79" t="s">
        <v>127</v>
      </c>
      <c r="I9" s="2" t="s">
        <v>3</v>
      </c>
      <c r="J9" s="79" t="s">
        <v>130</v>
      </c>
      <c r="K9" s="79" t="s">
        <v>132</v>
      </c>
      <c r="L9" s="79" t="s">
        <v>135</v>
      </c>
      <c r="M9" s="79" t="s">
        <v>137</v>
      </c>
      <c r="N9" s="175" t="s">
        <v>128</v>
      </c>
      <c r="O9" s="198" t="s">
        <v>3</v>
      </c>
    </row>
    <row r="10" spans="1:15" ht="32.25" thickBot="1" x14ac:dyDescent="0.3">
      <c r="A10" s="80" t="s">
        <v>4</v>
      </c>
      <c r="B10" s="78" t="s">
        <v>5</v>
      </c>
      <c r="C10" s="81" t="s">
        <v>6</v>
      </c>
      <c r="D10" s="78" t="s">
        <v>7</v>
      </c>
      <c r="E10" s="78" t="s">
        <v>8</v>
      </c>
      <c r="F10" s="71" t="s">
        <v>9</v>
      </c>
      <c r="G10" s="82" t="s">
        <v>10</v>
      </c>
      <c r="H10" s="83" t="s">
        <v>10</v>
      </c>
      <c r="I10" s="3" t="s">
        <v>10</v>
      </c>
      <c r="J10" s="83" t="s">
        <v>10</v>
      </c>
      <c r="K10" s="83" t="s">
        <v>10</v>
      </c>
      <c r="L10" s="83" t="s">
        <v>10</v>
      </c>
      <c r="M10" s="83" t="s">
        <v>10</v>
      </c>
      <c r="N10" s="83" t="s">
        <v>10</v>
      </c>
      <c r="O10" s="199" t="s">
        <v>10</v>
      </c>
    </row>
    <row r="11" spans="1:15" ht="15.75" x14ac:dyDescent="0.25">
      <c r="A11" s="84"/>
      <c r="B11" s="85"/>
      <c r="C11" s="86"/>
      <c r="D11" s="87"/>
      <c r="E11" s="88"/>
      <c r="F11" s="89"/>
      <c r="G11" s="90"/>
      <c r="H11" s="91"/>
      <c r="I11" s="4"/>
      <c r="J11" s="91"/>
      <c r="K11" s="91"/>
      <c r="L11" s="91"/>
      <c r="M11" s="91"/>
      <c r="N11" s="91"/>
      <c r="O11" s="200"/>
    </row>
    <row r="12" spans="1:15" ht="16.5" thickBot="1" x14ac:dyDescent="0.3">
      <c r="A12" s="85">
        <v>2</v>
      </c>
      <c r="B12" s="85">
        <v>1</v>
      </c>
      <c r="C12" s="92"/>
      <c r="D12" s="85"/>
      <c r="E12" s="93"/>
      <c r="F12" s="94" t="s">
        <v>11</v>
      </c>
      <c r="G12" s="95">
        <f>G13+G31+G38+G43-1</f>
        <v>23002832</v>
      </c>
      <c r="H12" s="165">
        <f t="shared" ref="H12:O12" si="0">H13+H31+H38+H43</f>
        <v>1661145.73</v>
      </c>
      <c r="I12" s="5" t="e">
        <f t="shared" si="0"/>
        <v>#REF!</v>
      </c>
      <c r="J12" s="165">
        <f t="shared" si="0"/>
        <v>1673803.74</v>
      </c>
      <c r="K12" s="165">
        <f t="shared" si="0"/>
        <v>1673803.74</v>
      </c>
      <c r="L12" s="165">
        <f t="shared" si="0"/>
        <v>1667742.0209999999</v>
      </c>
      <c r="M12" s="165">
        <f t="shared" si="0"/>
        <v>1673803.74</v>
      </c>
      <c r="N12" s="165">
        <f t="shared" si="0"/>
        <v>8350298.9709999999</v>
      </c>
      <c r="O12" s="201">
        <f t="shared" si="0"/>
        <v>14652534.028999999</v>
      </c>
    </row>
    <row r="13" spans="1:15" ht="16.5" thickBot="1" x14ac:dyDescent="0.3">
      <c r="A13" s="85">
        <v>2</v>
      </c>
      <c r="B13" s="85">
        <v>1</v>
      </c>
      <c r="C13" s="92">
        <v>1</v>
      </c>
      <c r="D13" s="85"/>
      <c r="E13" s="93"/>
      <c r="F13" s="94" t="s">
        <v>12</v>
      </c>
      <c r="G13" s="96">
        <f t="shared" ref="G13:O13" si="1">G14+G17+G22+G25</f>
        <v>19031957</v>
      </c>
      <c r="H13" s="96">
        <f t="shared" si="1"/>
        <v>1454830</v>
      </c>
      <c r="I13" s="6" t="e">
        <f t="shared" si="1"/>
        <v>#REF!</v>
      </c>
      <c r="J13" s="96">
        <f t="shared" si="1"/>
        <v>1464830</v>
      </c>
      <c r="K13" s="96">
        <f t="shared" si="1"/>
        <v>1464830</v>
      </c>
      <c r="L13" s="96">
        <f t="shared" si="1"/>
        <v>1464830</v>
      </c>
      <c r="M13" s="96">
        <f t="shared" si="1"/>
        <v>1464830</v>
      </c>
      <c r="N13" s="96">
        <f t="shared" si="1"/>
        <v>7314150</v>
      </c>
      <c r="O13" s="202">
        <f t="shared" si="1"/>
        <v>11717807</v>
      </c>
    </row>
    <row r="14" spans="1:15" ht="16.5" thickBot="1" x14ac:dyDescent="0.3">
      <c r="A14" s="85">
        <v>2</v>
      </c>
      <c r="B14" s="85">
        <v>1</v>
      </c>
      <c r="C14" s="92">
        <v>1</v>
      </c>
      <c r="D14" s="85">
        <v>1</v>
      </c>
      <c r="E14" s="93"/>
      <c r="F14" s="94" t="s">
        <v>13</v>
      </c>
      <c r="G14" s="97">
        <f t="shared" ref="G14:O14" si="2">G15</f>
        <v>6300000</v>
      </c>
      <c r="H14" s="98">
        <f t="shared" si="2"/>
        <v>525000</v>
      </c>
      <c r="I14" s="7" t="e">
        <f t="shared" si="2"/>
        <v>#REF!</v>
      </c>
      <c r="J14" s="98">
        <f t="shared" si="2"/>
        <v>525000</v>
      </c>
      <c r="K14" s="98">
        <f t="shared" si="2"/>
        <v>525000</v>
      </c>
      <c r="L14" s="98">
        <f t="shared" si="2"/>
        <v>525000</v>
      </c>
      <c r="M14" s="98">
        <f t="shared" si="2"/>
        <v>525000</v>
      </c>
      <c r="N14" s="98">
        <f t="shared" si="2"/>
        <v>2625000</v>
      </c>
      <c r="O14" s="203">
        <f t="shared" si="2"/>
        <v>3675000</v>
      </c>
    </row>
    <row r="15" spans="1:15" ht="15.75" x14ac:dyDescent="0.25">
      <c r="A15" s="85">
        <v>2</v>
      </c>
      <c r="B15" s="85">
        <v>1</v>
      </c>
      <c r="C15" s="92">
        <v>1</v>
      </c>
      <c r="D15" s="85">
        <v>1</v>
      </c>
      <c r="E15" s="85">
        <v>1</v>
      </c>
      <c r="F15" s="99" t="s">
        <v>14</v>
      </c>
      <c r="G15" s="100">
        <v>6300000</v>
      </c>
      <c r="H15" s="101">
        <f>225000+300000</f>
        <v>525000</v>
      </c>
      <c r="I15" s="8" t="e">
        <f>+G15-#REF!</f>
        <v>#REF!</v>
      </c>
      <c r="J15" s="101">
        <f>225000+300000</f>
        <v>525000</v>
      </c>
      <c r="K15" s="101">
        <f>225000+300000</f>
        <v>525000</v>
      </c>
      <c r="L15" s="101">
        <f>225000+300000</f>
        <v>525000</v>
      </c>
      <c r="M15" s="101">
        <f>225000+300000</f>
        <v>525000</v>
      </c>
      <c r="N15" s="101">
        <f>+H15+J15+K15+L15+M15</f>
        <v>2625000</v>
      </c>
      <c r="O15" s="204">
        <f>+G15-N15</f>
        <v>3675000</v>
      </c>
    </row>
    <row r="16" spans="1:15" ht="15.75" x14ac:dyDescent="0.25">
      <c r="A16" s="85"/>
      <c r="B16" s="85"/>
      <c r="C16" s="92"/>
      <c r="D16" s="85"/>
      <c r="E16" s="84"/>
      <c r="F16" s="99"/>
      <c r="G16" s="102"/>
      <c r="H16" s="103"/>
      <c r="I16" s="9"/>
      <c r="J16" s="103"/>
      <c r="K16" s="103"/>
      <c r="L16" s="103"/>
      <c r="M16" s="103"/>
      <c r="N16" s="103"/>
      <c r="O16" s="205"/>
    </row>
    <row r="17" spans="1:15" ht="32.25" thickBot="1" x14ac:dyDescent="0.3">
      <c r="A17" s="85">
        <v>2</v>
      </c>
      <c r="B17" s="85">
        <v>1</v>
      </c>
      <c r="C17" s="92">
        <v>1</v>
      </c>
      <c r="D17" s="85">
        <v>2</v>
      </c>
      <c r="E17" s="93"/>
      <c r="F17" s="104" t="s">
        <v>15</v>
      </c>
      <c r="G17" s="95">
        <f>G18</f>
        <v>11267960</v>
      </c>
      <c r="H17" s="105">
        <f t="shared" ref="H17:O17" si="3">SUM(H18:H20)</f>
        <v>929830</v>
      </c>
      <c r="I17" s="10" t="e">
        <f t="shared" si="3"/>
        <v>#REF!</v>
      </c>
      <c r="J17" s="105">
        <f t="shared" si="3"/>
        <v>939830</v>
      </c>
      <c r="K17" s="105">
        <f t="shared" si="3"/>
        <v>939830</v>
      </c>
      <c r="L17" s="105">
        <f t="shared" si="3"/>
        <v>939830</v>
      </c>
      <c r="M17" s="105">
        <f t="shared" si="3"/>
        <v>939830</v>
      </c>
      <c r="N17" s="105">
        <f t="shared" si="3"/>
        <v>4689150</v>
      </c>
      <c r="O17" s="206">
        <f t="shared" si="3"/>
        <v>6578810</v>
      </c>
    </row>
    <row r="18" spans="1:15" ht="31.5" x14ac:dyDescent="0.25">
      <c r="A18" s="85">
        <v>2</v>
      </c>
      <c r="B18" s="85">
        <v>1</v>
      </c>
      <c r="C18" s="92">
        <v>1</v>
      </c>
      <c r="D18" s="85">
        <v>2</v>
      </c>
      <c r="E18" s="85">
        <v>1</v>
      </c>
      <c r="F18" s="106" t="s">
        <v>16</v>
      </c>
      <c r="G18" s="107">
        <v>11267960</v>
      </c>
      <c r="H18" s="103">
        <f>51400+75378+60885+73500+48920+80500+93500+73500+122117+110065+85065</f>
        <v>874830</v>
      </c>
      <c r="I18" s="9" t="e">
        <f>+G18-#REF!</f>
        <v>#REF!</v>
      </c>
      <c r="J18" s="103">
        <f>51400+75378+60885+73500+48920+80500+93500+73500+122117+110065+85065+65000</f>
        <v>939830</v>
      </c>
      <c r="K18" s="103">
        <f>51400+75378+60885+73500+48920+80500+93500+73500+122117+110065+85065+65000</f>
        <v>939830</v>
      </c>
      <c r="L18" s="103">
        <f>51400+75378+60885+73500+48920+80500+93500+73500+122117+110065+85065+65000</f>
        <v>939830</v>
      </c>
      <c r="M18" s="103">
        <f>51400+75378+60885+73500+48920+80500+93500+73500+122117+110065+85065+65000</f>
        <v>939830</v>
      </c>
      <c r="N18" s="103">
        <f>+H18+J18+K18+L18+M18</f>
        <v>4634150</v>
      </c>
      <c r="O18" s="205">
        <f>+G18-N18</f>
        <v>6633810</v>
      </c>
    </row>
    <row r="19" spans="1:15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2</v>
      </c>
      <c r="F19" s="106" t="s">
        <v>17</v>
      </c>
      <c r="G19" s="102"/>
      <c r="H19" s="103"/>
      <c r="I19" s="9"/>
      <c r="J19" s="103"/>
      <c r="K19" s="103"/>
      <c r="L19" s="103"/>
      <c r="M19" s="103"/>
      <c r="N19" s="103">
        <f>+H19+J19+K19+L19+M19</f>
        <v>0</v>
      </c>
      <c r="O19" s="205"/>
    </row>
    <row r="20" spans="1:15" ht="31.5" x14ac:dyDescent="0.25">
      <c r="A20" s="85">
        <v>2</v>
      </c>
      <c r="B20" s="85">
        <v>1</v>
      </c>
      <c r="C20" s="92">
        <v>1</v>
      </c>
      <c r="D20" s="85">
        <v>2</v>
      </c>
      <c r="E20" s="85">
        <v>5</v>
      </c>
      <c r="F20" s="106" t="s">
        <v>18</v>
      </c>
      <c r="G20" s="108"/>
      <c r="H20" s="110">
        <v>55000</v>
      </c>
      <c r="I20" s="12" t="e">
        <f>+G20-#REF!</f>
        <v>#REF!</v>
      </c>
      <c r="J20" s="110"/>
      <c r="K20" s="110"/>
      <c r="L20" s="110"/>
      <c r="M20" s="110"/>
      <c r="N20" s="103">
        <f>+H20+J20+K20+L20+M20</f>
        <v>55000</v>
      </c>
      <c r="O20" s="207">
        <f>G20-N20</f>
        <v>-55000</v>
      </c>
    </row>
    <row r="21" spans="1:15" ht="15.75" x14ac:dyDescent="0.25">
      <c r="A21" s="85"/>
      <c r="B21" s="85"/>
      <c r="C21" s="92"/>
      <c r="D21" s="85"/>
      <c r="E21" s="85"/>
      <c r="F21" s="106"/>
      <c r="G21" s="108"/>
      <c r="H21" s="110" t="s">
        <v>19</v>
      </c>
      <c r="I21" s="12"/>
      <c r="J21" s="110" t="s">
        <v>19</v>
      </c>
      <c r="K21" s="110"/>
      <c r="L21" s="110"/>
      <c r="M21" s="110"/>
      <c r="N21" s="110" t="s">
        <v>19</v>
      </c>
      <c r="O21" s="207"/>
    </row>
    <row r="22" spans="1:15" ht="16.5" thickBot="1" x14ac:dyDescent="0.3">
      <c r="A22" s="85">
        <v>2</v>
      </c>
      <c r="B22" s="85">
        <v>1</v>
      </c>
      <c r="C22" s="92">
        <v>1</v>
      </c>
      <c r="D22" s="85">
        <v>4</v>
      </c>
      <c r="E22" s="93"/>
      <c r="F22" s="104" t="s">
        <v>20</v>
      </c>
      <c r="G22" s="95">
        <f t="shared" ref="G22:O22" si="4">G23</f>
        <v>1463997</v>
      </c>
      <c r="H22" s="96">
        <f t="shared" si="4"/>
        <v>0</v>
      </c>
      <c r="I22" s="6" t="e">
        <f t="shared" si="4"/>
        <v>#REF!</v>
      </c>
      <c r="J22" s="96">
        <f t="shared" si="4"/>
        <v>0</v>
      </c>
      <c r="K22" s="96">
        <f t="shared" si="4"/>
        <v>0</v>
      </c>
      <c r="L22" s="96">
        <f t="shared" si="4"/>
        <v>0</v>
      </c>
      <c r="M22" s="96">
        <f t="shared" si="4"/>
        <v>0</v>
      </c>
      <c r="N22" s="118">
        <f t="shared" si="4"/>
        <v>0</v>
      </c>
      <c r="O22" s="202">
        <f t="shared" si="4"/>
        <v>1463997</v>
      </c>
    </row>
    <row r="23" spans="1:15" ht="15.75" x14ac:dyDescent="0.25">
      <c r="A23" s="85">
        <v>2</v>
      </c>
      <c r="B23" s="85">
        <v>1</v>
      </c>
      <c r="C23" s="92">
        <v>1</v>
      </c>
      <c r="D23" s="85">
        <v>4</v>
      </c>
      <c r="E23" s="85">
        <v>1</v>
      </c>
      <c r="F23" s="106" t="s">
        <v>21</v>
      </c>
      <c r="G23" s="107">
        <v>1463997</v>
      </c>
      <c r="H23" s="109">
        <v>0</v>
      </c>
      <c r="I23" s="13" t="e">
        <f>+G23-#REF!</f>
        <v>#REF!</v>
      </c>
      <c r="J23" s="109">
        <v>0</v>
      </c>
      <c r="K23" s="109"/>
      <c r="L23" s="109"/>
      <c r="M23" s="109"/>
      <c r="N23" s="103">
        <f>+H23+J23+K23+L23+M23</f>
        <v>0</v>
      </c>
      <c r="O23" s="208">
        <f>G23-N23</f>
        <v>1463997</v>
      </c>
    </row>
    <row r="24" spans="1:15" ht="15.75" x14ac:dyDescent="0.25">
      <c r="A24" s="85"/>
      <c r="B24" s="85"/>
      <c r="C24" s="92"/>
      <c r="D24" s="85"/>
      <c r="E24" s="85"/>
      <c r="F24" s="106"/>
      <c r="G24" s="108"/>
      <c r="H24" s="110"/>
      <c r="I24" s="12"/>
      <c r="J24" s="110"/>
      <c r="K24" s="110"/>
      <c r="L24" s="110"/>
      <c r="M24" s="110"/>
      <c r="N24" s="110"/>
      <c r="O24" s="207"/>
    </row>
    <row r="25" spans="1:15" ht="16.5" thickBot="1" x14ac:dyDescent="0.3">
      <c r="A25" s="85">
        <v>2</v>
      </c>
      <c r="B25" s="85">
        <v>1</v>
      </c>
      <c r="C25" s="92">
        <v>1</v>
      </c>
      <c r="D25" s="85">
        <v>5</v>
      </c>
      <c r="E25" s="93"/>
      <c r="F25" s="104" t="s">
        <v>22</v>
      </c>
      <c r="G25" s="111">
        <f>G26+G29</f>
        <v>0</v>
      </c>
      <c r="H25" s="105">
        <f t="shared" ref="H25:O25" si="5">H26+H27+H28+H29</f>
        <v>0</v>
      </c>
      <c r="I25" s="10">
        <f t="shared" si="5"/>
        <v>0</v>
      </c>
      <c r="J25" s="105">
        <f t="shared" si="5"/>
        <v>0</v>
      </c>
      <c r="K25" s="105">
        <f t="shared" si="5"/>
        <v>0</v>
      </c>
      <c r="L25" s="105">
        <f t="shared" si="5"/>
        <v>0</v>
      </c>
      <c r="M25" s="105">
        <f t="shared" si="5"/>
        <v>0</v>
      </c>
      <c r="N25" s="105">
        <f t="shared" si="5"/>
        <v>0</v>
      </c>
      <c r="O25" s="206">
        <f t="shared" si="5"/>
        <v>0</v>
      </c>
    </row>
    <row r="26" spans="1:15" ht="15.75" x14ac:dyDescent="0.25">
      <c r="A26" s="85">
        <v>2</v>
      </c>
      <c r="B26" s="85">
        <v>1</v>
      </c>
      <c r="C26" s="92">
        <v>1</v>
      </c>
      <c r="D26" s="85">
        <v>5</v>
      </c>
      <c r="E26" s="85">
        <v>1</v>
      </c>
      <c r="F26" s="106" t="s">
        <v>22</v>
      </c>
      <c r="G26" s="108"/>
      <c r="H26" s="110">
        <v>0</v>
      </c>
      <c r="I26" s="12">
        <v>0</v>
      </c>
      <c r="J26" s="110">
        <v>0</v>
      </c>
      <c r="K26" s="110"/>
      <c r="L26" s="110"/>
      <c r="M26" s="110"/>
      <c r="N26" s="103">
        <f>+H26+J26+K26+L26+M26</f>
        <v>0</v>
      </c>
      <c r="O26" s="207">
        <v>0</v>
      </c>
    </row>
    <row r="27" spans="1:15" ht="31.5" x14ac:dyDescent="0.25">
      <c r="A27" s="85">
        <v>2</v>
      </c>
      <c r="B27" s="85">
        <v>1</v>
      </c>
      <c r="C27" s="92">
        <v>1</v>
      </c>
      <c r="D27" s="85">
        <v>5</v>
      </c>
      <c r="E27" s="85">
        <v>2</v>
      </c>
      <c r="F27" s="106" t="s">
        <v>23</v>
      </c>
      <c r="G27" s="108"/>
      <c r="H27" s="110">
        <v>0</v>
      </c>
      <c r="I27" s="12">
        <v>0</v>
      </c>
      <c r="J27" s="110">
        <v>0</v>
      </c>
      <c r="K27" s="110"/>
      <c r="L27" s="110"/>
      <c r="M27" s="110"/>
      <c r="N27" s="103">
        <f>+H27+J27+K27+L27+M27</f>
        <v>0</v>
      </c>
      <c r="O27" s="207">
        <v>0</v>
      </c>
    </row>
    <row r="28" spans="1:15" ht="15.75" x14ac:dyDescent="0.25">
      <c r="A28" s="85">
        <v>2</v>
      </c>
      <c r="B28" s="85">
        <v>1</v>
      </c>
      <c r="C28" s="92">
        <v>1</v>
      </c>
      <c r="D28" s="85">
        <v>5</v>
      </c>
      <c r="E28" s="85">
        <v>3</v>
      </c>
      <c r="F28" s="106" t="s">
        <v>24</v>
      </c>
      <c r="G28" s="108"/>
      <c r="H28" s="110">
        <v>0</v>
      </c>
      <c r="I28" s="12">
        <v>0</v>
      </c>
      <c r="J28" s="110">
        <v>0</v>
      </c>
      <c r="K28" s="110"/>
      <c r="L28" s="110"/>
      <c r="M28" s="110"/>
      <c r="N28" s="103">
        <f>+H28+J28+K28+L28+M28</f>
        <v>0</v>
      </c>
      <c r="O28" s="207">
        <v>0</v>
      </c>
    </row>
    <row r="29" spans="1:15" ht="31.5" x14ac:dyDescent="0.25">
      <c r="A29" s="85">
        <v>2</v>
      </c>
      <c r="B29" s="85">
        <v>1</v>
      </c>
      <c r="C29" s="92">
        <v>1</v>
      </c>
      <c r="D29" s="85">
        <v>5</v>
      </c>
      <c r="E29" s="85">
        <v>4</v>
      </c>
      <c r="F29" s="106" t="s">
        <v>25</v>
      </c>
      <c r="G29" s="108"/>
      <c r="H29" s="110"/>
      <c r="I29" s="12"/>
      <c r="J29" s="110"/>
      <c r="K29" s="110"/>
      <c r="L29" s="110"/>
      <c r="M29" s="110"/>
      <c r="N29" s="110"/>
      <c r="O29" s="207"/>
    </row>
    <row r="30" spans="1:15" ht="16.5" thickBot="1" x14ac:dyDescent="0.3">
      <c r="A30" s="85"/>
      <c r="B30" s="85"/>
      <c r="C30" s="92"/>
      <c r="D30" s="85"/>
      <c r="E30" s="85"/>
      <c r="F30" s="106"/>
      <c r="G30" s="108"/>
      <c r="H30" s="110"/>
      <c r="I30" s="12"/>
      <c r="J30" s="110"/>
      <c r="K30" s="110"/>
      <c r="L30" s="110"/>
      <c r="M30" s="110"/>
      <c r="N30" s="110"/>
      <c r="O30" s="207"/>
    </row>
    <row r="31" spans="1:15" ht="16.5" thickBot="1" x14ac:dyDescent="0.3">
      <c r="A31" s="85">
        <v>2</v>
      </c>
      <c r="B31" s="85">
        <v>1</v>
      </c>
      <c r="C31" s="92">
        <v>2</v>
      </c>
      <c r="D31" s="85"/>
      <c r="E31" s="85"/>
      <c r="F31" s="104" t="s">
        <v>26</v>
      </c>
      <c r="G31" s="112">
        <f t="shared" ref="G31:O31" si="6">G32</f>
        <v>1463997</v>
      </c>
      <c r="H31" s="113">
        <f t="shared" si="6"/>
        <v>0</v>
      </c>
      <c r="I31" s="14" t="e">
        <f t="shared" si="6"/>
        <v>#REF!</v>
      </c>
      <c r="J31" s="113">
        <f t="shared" si="6"/>
        <v>0</v>
      </c>
      <c r="K31" s="113">
        <f t="shared" si="6"/>
        <v>0</v>
      </c>
      <c r="L31" s="113">
        <f t="shared" si="6"/>
        <v>0</v>
      </c>
      <c r="M31" s="113">
        <f t="shared" si="6"/>
        <v>0</v>
      </c>
      <c r="N31" s="113">
        <f t="shared" si="6"/>
        <v>0</v>
      </c>
      <c r="O31" s="113">
        <f t="shared" si="6"/>
        <v>1463997</v>
      </c>
    </row>
    <row r="32" spans="1:15" ht="16.5" thickBot="1" x14ac:dyDescent="0.3">
      <c r="A32" s="85">
        <v>2</v>
      </c>
      <c r="B32" s="85">
        <v>1</v>
      </c>
      <c r="C32" s="85">
        <v>2</v>
      </c>
      <c r="D32" s="85">
        <v>2</v>
      </c>
      <c r="E32" s="85"/>
      <c r="F32" s="104" t="s">
        <v>27</v>
      </c>
      <c r="G32" s="95">
        <f>G33+G34+G35</f>
        <v>1463997</v>
      </c>
      <c r="H32" s="113">
        <f t="shared" ref="H32:O32" si="7">H35</f>
        <v>0</v>
      </c>
      <c r="I32" s="15" t="e">
        <f t="shared" si="7"/>
        <v>#REF!</v>
      </c>
      <c r="J32" s="113">
        <f t="shared" si="7"/>
        <v>0</v>
      </c>
      <c r="K32" s="113">
        <f t="shared" si="7"/>
        <v>0</v>
      </c>
      <c r="L32" s="113">
        <f t="shared" si="7"/>
        <v>0</v>
      </c>
      <c r="M32" s="113">
        <f t="shared" si="7"/>
        <v>0</v>
      </c>
      <c r="N32" s="113">
        <f t="shared" si="7"/>
        <v>0</v>
      </c>
      <c r="O32" s="209">
        <f t="shared" si="7"/>
        <v>1463997</v>
      </c>
    </row>
    <row r="33" spans="1:15" ht="31.5" x14ac:dyDescent="0.25">
      <c r="A33" s="85">
        <v>2</v>
      </c>
      <c r="B33" s="85">
        <v>1</v>
      </c>
      <c r="C33" s="85">
        <v>2</v>
      </c>
      <c r="D33" s="85">
        <v>2</v>
      </c>
      <c r="E33" s="85">
        <v>2</v>
      </c>
      <c r="F33" s="104" t="s">
        <v>28</v>
      </c>
      <c r="G33" s="114"/>
      <c r="H33" s="96">
        <v>0</v>
      </c>
      <c r="I33" s="6">
        <v>0</v>
      </c>
      <c r="J33" s="96">
        <v>0</v>
      </c>
      <c r="K33" s="96">
        <v>0</v>
      </c>
      <c r="L33" s="96"/>
      <c r="M33" s="96"/>
      <c r="N33" s="103">
        <f>+H33+J33+K33+L33+M33</f>
        <v>0</v>
      </c>
      <c r="O33" s="202">
        <v>0</v>
      </c>
    </row>
    <row r="34" spans="1:15" ht="15.75" x14ac:dyDescent="0.25">
      <c r="A34" s="85">
        <v>2</v>
      </c>
      <c r="B34" s="85">
        <v>1</v>
      </c>
      <c r="C34" s="85">
        <v>2</v>
      </c>
      <c r="D34" s="85">
        <v>2</v>
      </c>
      <c r="E34" s="85">
        <v>4</v>
      </c>
      <c r="F34" s="106" t="s">
        <v>29</v>
      </c>
      <c r="G34" s="108">
        <v>0</v>
      </c>
      <c r="H34" s="110">
        <v>0</v>
      </c>
      <c r="I34" s="110">
        <v>0</v>
      </c>
      <c r="J34" s="110">
        <v>0</v>
      </c>
      <c r="K34" s="110">
        <v>0</v>
      </c>
      <c r="L34" s="110"/>
      <c r="M34" s="110"/>
      <c r="N34" s="103">
        <f>+H34+J34+K34+L34+M34</f>
        <v>0</v>
      </c>
      <c r="O34" s="207">
        <v>0</v>
      </c>
    </row>
    <row r="35" spans="1:15" ht="15.75" x14ac:dyDescent="0.25">
      <c r="A35" s="85">
        <v>2</v>
      </c>
      <c r="B35" s="85">
        <v>1</v>
      </c>
      <c r="C35" s="85">
        <v>2</v>
      </c>
      <c r="D35" s="85">
        <v>2</v>
      </c>
      <c r="E35" s="85">
        <v>15</v>
      </c>
      <c r="F35" s="106" t="s">
        <v>30</v>
      </c>
      <c r="G35" s="108">
        <v>1463997</v>
      </c>
      <c r="H35" s="110"/>
      <c r="I35" s="12" t="e">
        <f>+G35-#REF!</f>
        <v>#REF!</v>
      </c>
      <c r="J35" s="110"/>
      <c r="K35" s="110"/>
      <c r="L35" s="110"/>
      <c r="M35" s="110"/>
      <c r="N35" s="103">
        <f>+H35+J35+K35+L35+M35</f>
        <v>0</v>
      </c>
      <c r="O35" s="207">
        <f>G35-N35</f>
        <v>1463997</v>
      </c>
    </row>
    <row r="36" spans="1:15" ht="15.75" x14ac:dyDescent="0.25">
      <c r="A36" s="85"/>
      <c r="B36" s="85"/>
      <c r="C36" s="92"/>
      <c r="D36" s="85"/>
      <c r="E36" s="85"/>
      <c r="F36" s="106"/>
      <c r="G36" s="108"/>
      <c r="H36" s="110"/>
      <c r="I36" s="12"/>
      <c r="J36" s="110"/>
      <c r="K36" s="110"/>
      <c r="L36" s="110"/>
      <c r="M36" s="110"/>
      <c r="N36" s="110"/>
      <c r="O36" s="207"/>
    </row>
    <row r="37" spans="1:15" ht="15.75" x14ac:dyDescent="0.25">
      <c r="A37" s="85"/>
      <c r="B37" s="85"/>
      <c r="C37" s="92"/>
      <c r="D37" s="85"/>
      <c r="E37" s="85"/>
      <c r="F37" s="106"/>
      <c r="G37" s="108"/>
      <c r="H37" s="110"/>
      <c r="I37" s="12"/>
      <c r="J37" s="110"/>
      <c r="K37" s="110"/>
      <c r="L37" s="110"/>
      <c r="M37" s="110"/>
      <c r="N37" s="110"/>
      <c r="O37" s="207"/>
    </row>
    <row r="38" spans="1:15" ht="16.5" thickBot="1" x14ac:dyDescent="0.3">
      <c r="A38" s="85">
        <v>2</v>
      </c>
      <c r="B38" s="85">
        <v>1</v>
      </c>
      <c r="C38" s="92">
        <v>3</v>
      </c>
      <c r="D38" s="85"/>
      <c r="E38" s="85"/>
      <c r="F38" s="104" t="s">
        <v>31</v>
      </c>
      <c r="G38" s="108"/>
      <c r="H38" s="110"/>
      <c r="I38" s="12"/>
      <c r="J38" s="110"/>
      <c r="K38" s="110"/>
      <c r="L38" s="110"/>
      <c r="M38" s="110"/>
      <c r="N38" s="110"/>
      <c r="O38" s="207"/>
    </row>
    <row r="39" spans="1:15" ht="16.5" thickBot="1" x14ac:dyDescent="0.3">
      <c r="A39" s="85">
        <v>2</v>
      </c>
      <c r="B39" s="85">
        <v>1</v>
      </c>
      <c r="C39" s="92">
        <v>3</v>
      </c>
      <c r="D39" s="85">
        <v>1</v>
      </c>
      <c r="E39" s="93"/>
      <c r="F39" s="104" t="s">
        <v>32</v>
      </c>
      <c r="G39" s="97">
        <f t="shared" ref="G39:N39" si="8">G40+G41</f>
        <v>0</v>
      </c>
      <c r="H39" s="98">
        <f t="shared" si="8"/>
        <v>0</v>
      </c>
      <c r="I39" s="16">
        <f t="shared" si="8"/>
        <v>0</v>
      </c>
      <c r="J39" s="98">
        <f t="shared" si="8"/>
        <v>0</v>
      </c>
      <c r="K39" s="98">
        <f t="shared" si="8"/>
        <v>0</v>
      </c>
      <c r="L39" s="98">
        <f t="shared" si="8"/>
        <v>0</v>
      </c>
      <c r="M39" s="98">
        <f t="shared" si="8"/>
        <v>0</v>
      </c>
      <c r="N39" s="98">
        <f t="shared" si="8"/>
        <v>0</v>
      </c>
      <c r="O39" s="210">
        <f>O40+O41</f>
        <v>0</v>
      </c>
    </row>
    <row r="40" spans="1:15" ht="15.75" x14ac:dyDescent="0.25">
      <c r="A40" s="85">
        <v>2</v>
      </c>
      <c r="B40" s="85">
        <v>1</v>
      </c>
      <c r="C40" s="92">
        <v>3</v>
      </c>
      <c r="D40" s="85">
        <v>1</v>
      </c>
      <c r="E40" s="85">
        <v>1</v>
      </c>
      <c r="F40" s="106" t="s">
        <v>33</v>
      </c>
      <c r="G40" s="107"/>
      <c r="H40" s="110">
        <f t="shared" ref="H40:K41" si="9">G40*12</f>
        <v>0</v>
      </c>
      <c r="I40" s="110">
        <f t="shared" si="9"/>
        <v>0</v>
      </c>
      <c r="J40" s="110">
        <f t="shared" si="9"/>
        <v>0</v>
      </c>
      <c r="K40" s="110">
        <f t="shared" si="9"/>
        <v>0</v>
      </c>
      <c r="L40" s="110"/>
      <c r="M40" s="110"/>
      <c r="N40" s="182">
        <f>+H40+J40+K40+L40+M40</f>
        <v>0</v>
      </c>
      <c r="O40" s="207">
        <f>+G40-N40</f>
        <v>0</v>
      </c>
    </row>
    <row r="41" spans="1:15" ht="15.75" x14ac:dyDescent="0.25">
      <c r="A41" s="85">
        <v>2</v>
      </c>
      <c r="B41" s="85">
        <v>1</v>
      </c>
      <c r="C41" s="92">
        <v>3</v>
      </c>
      <c r="D41" s="85">
        <v>1</v>
      </c>
      <c r="E41" s="85">
        <v>2</v>
      </c>
      <c r="F41" s="106" t="s">
        <v>34</v>
      </c>
      <c r="G41" s="108"/>
      <c r="H41" s="110">
        <f t="shared" si="9"/>
        <v>0</v>
      </c>
      <c r="I41" s="110">
        <f t="shared" si="9"/>
        <v>0</v>
      </c>
      <c r="J41" s="110">
        <f t="shared" si="9"/>
        <v>0</v>
      </c>
      <c r="K41" s="110">
        <f t="shared" si="9"/>
        <v>0</v>
      </c>
      <c r="L41" s="110"/>
      <c r="M41" s="110"/>
      <c r="N41" s="103">
        <f>+H41+J41+K41+L41+M41</f>
        <v>0</v>
      </c>
      <c r="O41" s="207">
        <f>+G41-N41</f>
        <v>0</v>
      </c>
    </row>
    <row r="42" spans="1:15" s="17" customFormat="1" ht="15.75" x14ac:dyDescent="0.25">
      <c r="A42" s="85"/>
      <c r="B42" s="85"/>
      <c r="C42" s="92"/>
      <c r="D42" s="85"/>
      <c r="E42" s="85"/>
      <c r="F42" s="106"/>
      <c r="G42" s="108"/>
      <c r="H42" s="110"/>
      <c r="I42" s="12"/>
      <c r="J42" s="110"/>
      <c r="K42" s="110"/>
      <c r="L42" s="110"/>
      <c r="M42" s="110"/>
      <c r="N42" s="110"/>
      <c r="O42" s="207"/>
    </row>
    <row r="43" spans="1:15" ht="32.25" thickBot="1" x14ac:dyDescent="0.3">
      <c r="A43" s="85">
        <v>2</v>
      </c>
      <c r="B43" s="115">
        <v>1</v>
      </c>
      <c r="C43" s="116">
        <v>5</v>
      </c>
      <c r="D43" s="93"/>
      <c r="E43" s="93"/>
      <c r="F43" s="104" t="s">
        <v>35</v>
      </c>
      <c r="G43" s="95">
        <f t="shared" ref="G43:O43" si="10">SUM(G44:G46)</f>
        <v>2506879</v>
      </c>
      <c r="H43" s="96">
        <f t="shared" si="10"/>
        <v>206315.72999999998</v>
      </c>
      <c r="I43" s="6" t="e">
        <f t="shared" si="10"/>
        <v>#REF!</v>
      </c>
      <c r="J43" s="96">
        <f t="shared" si="10"/>
        <v>208973.74</v>
      </c>
      <c r="K43" s="96">
        <f t="shared" si="10"/>
        <v>208973.74</v>
      </c>
      <c r="L43" s="96">
        <f t="shared" si="10"/>
        <v>202912.02100000001</v>
      </c>
      <c r="M43" s="96">
        <f t="shared" si="10"/>
        <v>208973.74</v>
      </c>
      <c r="N43" s="118">
        <f t="shared" si="10"/>
        <v>1036148.971</v>
      </c>
      <c r="O43" s="202">
        <f t="shared" si="10"/>
        <v>1470730.0289999999</v>
      </c>
    </row>
    <row r="44" spans="1:15" ht="15.75" x14ac:dyDescent="0.25">
      <c r="A44" s="85">
        <v>2</v>
      </c>
      <c r="B44" s="85">
        <v>1</v>
      </c>
      <c r="C44" s="92">
        <v>5</v>
      </c>
      <c r="D44" s="85">
        <v>1</v>
      </c>
      <c r="E44" s="85"/>
      <c r="F44" s="99" t="s">
        <v>36</v>
      </c>
      <c r="G44" s="107">
        <v>1128795</v>
      </c>
      <c r="H44" s="109">
        <v>92444.4</v>
      </c>
      <c r="I44" s="13" t="e">
        <f>+G44-#REF!</f>
        <v>#REF!</v>
      </c>
      <c r="J44" s="109">
        <v>94075.8</v>
      </c>
      <c r="K44" s="109">
        <v>94075.8</v>
      </c>
      <c r="L44" s="109">
        <f>94075.801-6061.72</f>
        <v>88014.081000000006</v>
      </c>
      <c r="M44" s="109">
        <v>94075.8</v>
      </c>
      <c r="N44" s="103">
        <f>+H44+J44+K44+L44+M44</f>
        <v>462685.88099999999</v>
      </c>
      <c r="O44" s="208">
        <f>+G44-N44</f>
        <v>666109.11899999995</v>
      </c>
    </row>
    <row r="45" spans="1:15" ht="31.5" x14ac:dyDescent="0.25">
      <c r="A45" s="85">
        <v>2</v>
      </c>
      <c r="B45" s="85">
        <v>1</v>
      </c>
      <c r="C45" s="92">
        <v>5</v>
      </c>
      <c r="D45" s="85">
        <v>2</v>
      </c>
      <c r="E45" s="85"/>
      <c r="F45" s="99" t="s">
        <v>37</v>
      </c>
      <c r="G45" s="108">
        <v>1247325</v>
      </c>
      <c r="H45" s="110">
        <v>103292.95</v>
      </c>
      <c r="I45" s="12" t="e">
        <f>+G45-#REF!</f>
        <v>#REF!</v>
      </c>
      <c r="J45" s="110">
        <v>104002.95</v>
      </c>
      <c r="K45" s="110">
        <v>104002.95</v>
      </c>
      <c r="L45" s="110">
        <v>104002.95</v>
      </c>
      <c r="M45" s="110">
        <v>104002.95</v>
      </c>
      <c r="N45" s="103">
        <f>+H45+J45+K45+L45+M45</f>
        <v>519304.75</v>
      </c>
      <c r="O45" s="207">
        <f>+G45-N45</f>
        <v>728020.25</v>
      </c>
    </row>
    <row r="46" spans="1:15" ht="15.75" x14ac:dyDescent="0.25">
      <c r="A46" s="85">
        <v>2</v>
      </c>
      <c r="B46" s="85">
        <v>1</v>
      </c>
      <c r="C46" s="92">
        <v>5</v>
      </c>
      <c r="D46" s="85">
        <v>3</v>
      </c>
      <c r="E46" s="85"/>
      <c r="F46" s="106" t="s">
        <v>38</v>
      </c>
      <c r="G46" s="108">
        <v>130759</v>
      </c>
      <c r="H46" s="110">
        <v>10578.38</v>
      </c>
      <c r="I46" s="12" t="e">
        <f>+G46-#REF!</f>
        <v>#REF!</v>
      </c>
      <c r="J46" s="110">
        <v>10894.99</v>
      </c>
      <c r="K46" s="110">
        <v>10894.99</v>
      </c>
      <c r="L46" s="110">
        <v>10894.99</v>
      </c>
      <c r="M46" s="110">
        <v>10894.99</v>
      </c>
      <c r="N46" s="103">
        <f>+H46+J46+K46+L46+M46</f>
        <v>54158.34</v>
      </c>
      <c r="O46" s="207">
        <f>+G46-N46</f>
        <v>76600.66</v>
      </c>
    </row>
    <row r="47" spans="1:15" ht="15.75" x14ac:dyDescent="0.25">
      <c r="A47" s="85"/>
      <c r="B47" s="85"/>
      <c r="C47" s="92"/>
      <c r="D47" s="85"/>
      <c r="E47" s="85"/>
      <c r="F47" s="106"/>
      <c r="G47" s="108"/>
      <c r="H47" s="110"/>
      <c r="I47" s="12"/>
      <c r="J47" s="110"/>
      <c r="K47" s="110"/>
      <c r="L47" s="110"/>
      <c r="M47" s="110"/>
      <c r="N47" s="110"/>
      <c r="O47" s="207"/>
    </row>
    <row r="48" spans="1:15" ht="16.5" thickBot="1" x14ac:dyDescent="0.3">
      <c r="A48" s="85">
        <v>2</v>
      </c>
      <c r="B48" s="85">
        <v>2</v>
      </c>
      <c r="C48" s="92"/>
      <c r="D48" s="85"/>
      <c r="E48" s="93"/>
      <c r="F48" s="94" t="s">
        <v>39</v>
      </c>
      <c r="G48" s="95">
        <f t="shared" ref="G48:O48" si="11">G49+G57+G61+G65+G69+G83+G91+G78+G106</f>
        <v>18307031</v>
      </c>
      <c r="H48" s="105">
        <f t="shared" si="11"/>
        <v>1340446.24</v>
      </c>
      <c r="I48" s="10" t="e">
        <f t="shared" si="11"/>
        <v>#REF!</v>
      </c>
      <c r="J48" s="105">
        <f t="shared" si="11"/>
        <v>1520971.4000000001</v>
      </c>
      <c r="K48" s="105">
        <f t="shared" si="11"/>
        <v>1562030.84</v>
      </c>
      <c r="L48" s="105">
        <f t="shared" si="11"/>
        <v>2163287.7000000002</v>
      </c>
      <c r="M48" s="105">
        <f t="shared" si="11"/>
        <v>1933250.05</v>
      </c>
      <c r="N48" s="105">
        <f t="shared" si="11"/>
        <v>8519986.2300000004</v>
      </c>
      <c r="O48" s="206">
        <f t="shared" si="11"/>
        <v>9787044.7699999996</v>
      </c>
    </row>
    <row r="49" spans="1:15" ht="16.5" thickBot="1" x14ac:dyDescent="0.3">
      <c r="A49" s="85">
        <v>2</v>
      </c>
      <c r="B49" s="85">
        <v>2</v>
      </c>
      <c r="C49" s="92">
        <v>1</v>
      </c>
      <c r="D49" s="85"/>
      <c r="E49" s="93"/>
      <c r="F49" s="94" t="s">
        <v>40</v>
      </c>
      <c r="G49" s="112">
        <f t="shared" ref="G49:O49" si="12">G50+G51+G52+G54</f>
        <v>1401915</v>
      </c>
      <c r="H49" s="96">
        <f t="shared" si="12"/>
        <v>122900.01999999999</v>
      </c>
      <c r="I49" s="6" t="e">
        <f t="shared" si="12"/>
        <v>#REF!</v>
      </c>
      <c r="J49" s="96">
        <f t="shared" si="12"/>
        <v>121985.62</v>
      </c>
      <c r="K49" s="96">
        <f t="shared" si="12"/>
        <v>120045.4</v>
      </c>
      <c r="L49" s="96">
        <f t="shared" si="12"/>
        <v>164988.94</v>
      </c>
      <c r="M49" s="96">
        <f t="shared" si="12"/>
        <v>121623.14</v>
      </c>
      <c r="N49" s="113">
        <f t="shared" si="12"/>
        <v>651543.12</v>
      </c>
      <c r="O49" s="202">
        <f t="shared" si="12"/>
        <v>750371.88</v>
      </c>
    </row>
    <row r="50" spans="1:15" ht="15.75" x14ac:dyDescent="0.25">
      <c r="A50" s="85">
        <v>2</v>
      </c>
      <c r="B50" s="85">
        <v>2</v>
      </c>
      <c r="C50" s="92">
        <v>1</v>
      </c>
      <c r="D50" s="85">
        <v>3</v>
      </c>
      <c r="E50" s="85"/>
      <c r="F50" s="99" t="s">
        <v>41</v>
      </c>
      <c r="G50" s="107">
        <v>336000</v>
      </c>
      <c r="H50" s="109">
        <f>47963.82+22207.42+2155</f>
        <v>72326.239999999991</v>
      </c>
      <c r="I50" s="13" t="e">
        <f>+G50-#REF!</f>
        <v>#REF!</v>
      </c>
      <c r="J50" s="109">
        <f>8785.14+2212.21+22518.17+31889</f>
        <v>65404.52</v>
      </c>
      <c r="K50" s="109">
        <f>31889+22264.93+2041</f>
        <v>56194.93</v>
      </c>
      <c r="L50" s="109">
        <f>22125.78+42779+2041</f>
        <v>66945.78</v>
      </c>
      <c r="M50" s="109">
        <f>31893.55+22075.97+2041</f>
        <v>56010.520000000004</v>
      </c>
      <c r="N50" s="103">
        <f>+H50+J50+K50+L50+M50</f>
        <v>316881.99</v>
      </c>
      <c r="O50" s="208">
        <f>+G50-N50</f>
        <v>19118.010000000009</v>
      </c>
    </row>
    <row r="51" spans="1:15" ht="15.75" x14ac:dyDescent="0.25">
      <c r="A51" s="85">
        <v>2</v>
      </c>
      <c r="B51" s="85">
        <v>2</v>
      </c>
      <c r="C51" s="92">
        <v>1</v>
      </c>
      <c r="D51" s="85">
        <v>4</v>
      </c>
      <c r="E51" s="85"/>
      <c r="F51" s="99" t="s">
        <v>42</v>
      </c>
      <c r="G51" s="108">
        <v>47822</v>
      </c>
      <c r="H51" s="110"/>
      <c r="I51" s="12"/>
      <c r="J51" s="110"/>
      <c r="K51" s="110"/>
      <c r="L51" s="110"/>
      <c r="M51" s="110"/>
      <c r="N51" s="103">
        <f>+H51+J51+K51+L51+M51</f>
        <v>0</v>
      </c>
      <c r="O51" s="207">
        <f>+G51-N51</f>
        <v>47822</v>
      </c>
    </row>
    <row r="52" spans="1:15" ht="31.5" x14ac:dyDescent="0.25">
      <c r="A52" s="85">
        <v>2</v>
      </c>
      <c r="B52" s="85">
        <v>2</v>
      </c>
      <c r="C52" s="92">
        <v>1</v>
      </c>
      <c r="D52" s="85">
        <v>5</v>
      </c>
      <c r="E52" s="85"/>
      <c r="F52" s="99" t="s">
        <v>43</v>
      </c>
      <c r="G52" s="108">
        <v>346093</v>
      </c>
      <c r="H52" s="110"/>
      <c r="I52" s="12" t="e">
        <f>+G52-#REF!</f>
        <v>#REF!</v>
      </c>
      <c r="J52" s="110"/>
      <c r="K52" s="110">
        <v>9289.85</v>
      </c>
      <c r="L52" s="110">
        <v>40068.33</v>
      </c>
      <c r="M52" s="110"/>
      <c r="N52" s="103">
        <f>+H52+J52+K52+L52+M52</f>
        <v>49358.18</v>
      </c>
      <c r="O52" s="207">
        <f>+G52-N52</f>
        <v>296734.82</v>
      </c>
    </row>
    <row r="53" spans="1:15" ht="15.75" x14ac:dyDescent="0.25">
      <c r="A53" s="85"/>
      <c r="B53" s="85"/>
      <c r="C53" s="92"/>
      <c r="D53" s="85"/>
      <c r="E53" s="85"/>
      <c r="F53" s="99"/>
      <c r="G53" s="108"/>
      <c r="H53" s="110"/>
      <c r="I53" s="12"/>
      <c r="J53" s="110"/>
      <c r="K53" s="110"/>
      <c r="L53" s="110"/>
      <c r="M53" s="110"/>
      <c r="N53" s="110"/>
      <c r="O53" s="207"/>
    </row>
    <row r="54" spans="1:15" ht="16.5" thickBot="1" x14ac:dyDescent="0.3">
      <c r="A54" s="85">
        <v>2</v>
      </c>
      <c r="B54" s="85">
        <v>2</v>
      </c>
      <c r="C54" s="92">
        <v>1</v>
      </c>
      <c r="D54" s="85">
        <v>6</v>
      </c>
      <c r="E54" s="85"/>
      <c r="F54" s="104" t="s">
        <v>44</v>
      </c>
      <c r="G54" s="95">
        <f t="shared" ref="G54:L54" si="13">G55</f>
        <v>672000</v>
      </c>
      <c r="H54" s="117">
        <f t="shared" si="13"/>
        <v>50573.78</v>
      </c>
      <c r="I54" s="19" t="e">
        <f t="shared" si="13"/>
        <v>#REF!</v>
      </c>
      <c r="J54" s="117">
        <f t="shared" si="13"/>
        <v>56581.1</v>
      </c>
      <c r="K54" s="117">
        <f t="shared" si="13"/>
        <v>54560.62</v>
      </c>
      <c r="L54" s="117">
        <f t="shared" si="13"/>
        <v>57974.83</v>
      </c>
      <c r="M54" s="117">
        <f>M55</f>
        <v>65612.62</v>
      </c>
      <c r="N54" s="117">
        <f>N55</f>
        <v>285302.95</v>
      </c>
      <c r="O54" s="211">
        <f>O55</f>
        <v>386697.05</v>
      </c>
    </row>
    <row r="55" spans="1:15" ht="15.75" x14ac:dyDescent="0.25">
      <c r="A55" s="85">
        <v>2</v>
      </c>
      <c r="B55" s="85">
        <v>2</v>
      </c>
      <c r="C55" s="92">
        <v>1</v>
      </c>
      <c r="D55" s="85">
        <v>6</v>
      </c>
      <c r="E55" s="85">
        <v>1</v>
      </c>
      <c r="F55" s="99" t="s">
        <v>45</v>
      </c>
      <c r="G55" s="107">
        <v>672000</v>
      </c>
      <c r="H55" s="110">
        <v>50573.78</v>
      </c>
      <c r="I55" s="13" t="e">
        <f>+G55-#REF!</f>
        <v>#REF!</v>
      </c>
      <c r="J55" s="110">
        <v>56581.1</v>
      </c>
      <c r="K55" s="110">
        <v>54560.62</v>
      </c>
      <c r="L55" s="110">
        <v>57974.83</v>
      </c>
      <c r="M55" s="110">
        <v>65612.62</v>
      </c>
      <c r="N55" s="182">
        <f>+H55+J55+K55+L55+M55</f>
        <v>285302.95</v>
      </c>
      <c r="O55" s="208">
        <f>+G55-N55</f>
        <v>386697.05</v>
      </c>
    </row>
    <row r="56" spans="1:15" ht="15.75" x14ac:dyDescent="0.25">
      <c r="A56" s="85"/>
      <c r="B56" s="85"/>
      <c r="C56" s="92"/>
      <c r="D56" s="85"/>
      <c r="E56" s="85"/>
      <c r="F56" s="99"/>
      <c r="G56" s="108"/>
      <c r="H56" s="110"/>
      <c r="I56" s="12"/>
      <c r="J56" s="110"/>
      <c r="K56" s="110"/>
      <c r="L56" s="110"/>
      <c r="M56" s="110"/>
      <c r="N56" s="110"/>
      <c r="O56" s="207"/>
    </row>
    <row r="57" spans="1:15" ht="32.25" thickBot="1" x14ac:dyDescent="0.3">
      <c r="A57" s="85">
        <v>2</v>
      </c>
      <c r="B57" s="85">
        <v>2</v>
      </c>
      <c r="C57" s="92">
        <v>2</v>
      </c>
      <c r="D57" s="85"/>
      <c r="E57" s="85"/>
      <c r="F57" s="104" t="s">
        <v>46</v>
      </c>
      <c r="G57" s="95">
        <f>SUM(G58:G59)</f>
        <v>175500</v>
      </c>
      <c r="H57" s="96">
        <f t="shared" ref="H57:O57" si="14">H58+H59</f>
        <v>0</v>
      </c>
      <c r="I57" s="20" t="e">
        <f t="shared" si="14"/>
        <v>#REF!</v>
      </c>
      <c r="J57" s="96">
        <f t="shared" si="14"/>
        <v>3325</v>
      </c>
      <c r="K57" s="96">
        <f t="shared" si="14"/>
        <v>7450</v>
      </c>
      <c r="L57" s="96">
        <f t="shared" si="14"/>
        <v>4760</v>
      </c>
      <c r="M57" s="96">
        <f t="shared" si="14"/>
        <v>0</v>
      </c>
      <c r="N57" s="105">
        <f t="shared" si="14"/>
        <v>15535</v>
      </c>
      <c r="O57" s="212">
        <f t="shared" si="14"/>
        <v>159965</v>
      </c>
    </row>
    <row r="58" spans="1:15" ht="15.75" x14ac:dyDescent="0.25">
      <c r="A58" s="85">
        <v>2</v>
      </c>
      <c r="B58" s="85">
        <v>2</v>
      </c>
      <c r="C58" s="92">
        <v>2</v>
      </c>
      <c r="D58" s="85">
        <v>1</v>
      </c>
      <c r="E58" s="85"/>
      <c r="F58" s="106" t="s">
        <v>47</v>
      </c>
      <c r="G58" s="107">
        <v>175500</v>
      </c>
      <c r="H58" s="109"/>
      <c r="I58" s="12" t="e">
        <f>+G58-#REF!</f>
        <v>#REF!</v>
      </c>
      <c r="J58" s="109">
        <v>3100</v>
      </c>
      <c r="K58" s="109">
        <v>3450</v>
      </c>
      <c r="L58" s="109">
        <v>0</v>
      </c>
      <c r="M58" s="109"/>
      <c r="N58" s="103">
        <f>+H58+J58+K58+L58+M58</f>
        <v>6550</v>
      </c>
      <c r="O58" s="207">
        <f>+G58-N58</f>
        <v>168950</v>
      </c>
    </row>
    <row r="59" spans="1:15" ht="15.75" x14ac:dyDescent="0.25">
      <c r="A59" s="85">
        <v>2</v>
      </c>
      <c r="B59" s="85">
        <v>2</v>
      </c>
      <c r="C59" s="92">
        <v>2</v>
      </c>
      <c r="D59" s="85">
        <v>2</v>
      </c>
      <c r="E59" s="85"/>
      <c r="F59" s="106" t="s">
        <v>48</v>
      </c>
      <c r="G59" s="108"/>
      <c r="H59" s="110"/>
      <c r="I59" s="12" t="e">
        <f>+G59-#REF!</f>
        <v>#REF!</v>
      </c>
      <c r="J59" s="110">
        <v>225</v>
      </c>
      <c r="K59" s="110">
        <v>4000</v>
      </c>
      <c r="L59" s="110">
        <v>4760</v>
      </c>
      <c r="M59" s="110"/>
      <c r="N59" s="103">
        <f>+H59+J59+K59+L59+M59</f>
        <v>8985</v>
      </c>
      <c r="O59" s="207">
        <f>+G59-N59</f>
        <v>-8985</v>
      </c>
    </row>
    <row r="60" spans="1:15" ht="15.75" x14ac:dyDescent="0.25">
      <c r="A60" s="85"/>
      <c r="B60" s="85"/>
      <c r="C60" s="92"/>
      <c r="D60" s="85"/>
      <c r="E60" s="85"/>
      <c r="F60" s="99"/>
      <c r="G60" s="108"/>
      <c r="H60" s="110"/>
      <c r="I60" s="12"/>
      <c r="J60" s="110"/>
      <c r="K60" s="110"/>
      <c r="L60" s="110"/>
      <c r="M60" s="110"/>
      <c r="N60" s="110"/>
      <c r="O60" s="207"/>
    </row>
    <row r="61" spans="1:15" ht="16.5" thickBot="1" x14ac:dyDescent="0.3">
      <c r="A61" s="85">
        <v>2</v>
      </c>
      <c r="B61" s="85">
        <v>2</v>
      </c>
      <c r="C61" s="92">
        <v>3</v>
      </c>
      <c r="D61" s="85"/>
      <c r="E61" s="85"/>
      <c r="F61" s="104" t="s">
        <v>49</v>
      </c>
      <c r="G61" s="95">
        <f t="shared" ref="G61:O61" si="15">G62+G63</f>
        <v>550000</v>
      </c>
      <c r="H61" s="105">
        <f t="shared" si="15"/>
        <v>0</v>
      </c>
      <c r="I61" s="10" t="e">
        <f t="shared" si="15"/>
        <v>#REF!</v>
      </c>
      <c r="J61" s="105">
        <f t="shared" si="15"/>
        <v>0</v>
      </c>
      <c r="K61" s="105">
        <f t="shared" si="15"/>
        <v>1600</v>
      </c>
      <c r="L61" s="105">
        <f t="shared" si="15"/>
        <v>90183.12</v>
      </c>
      <c r="M61" s="105">
        <f t="shared" si="15"/>
        <v>130003.2</v>
      </c>
      <c r="N61" s="105">
        <f t="shared" si="15"/>
        <v>221786.32</v>
      </c>
      <c r="O61" s="206">
        <f t="shared" si="15"/>
        <v>328213.68</v>
      </c>
    </row>
    <row r="62" spans="1:15" ht="15.75" x14ac:dyDescent="0.25">
      <c r="A62" s="85">
        <v>2</v>
      </c>
      <c r="B62" s="85">
        <v>2</v>
      </c>
      <c r="C62" s="92">
        <v>3</v>
      </c>
      <c r="D62" s="85">
        <v>1</v>
      </c>
      <c r="E62" s="119"/>
      <c r="F62" s="106" t="s">
        <v>50</v>
      </c>
      <c r="G62" s="100"/>
      <c r="H62" s="101"/>
      <c r="I62" s="8" t="e">
        <f>+G62-#REF!</f>
        <v>#REF!</v>
      </c>
      <c r="J62" s="101"/>
      <c r="K62" s="101">
        <f>1000+300+300</f>
        <v>1600</v>
      </c>
      <c r="L62" s="101">
        <f>2000+500+1000+1000</f>
        <v>4500</v>
      </c>
      <c r="M62" s="101"/>
      <c r="N62" s="103">
        <f>+H62+J62+K62+L62+M62</f>
        <v>6100</v>
      </c>
      <c r="O62" s="204">
        <f>+G62-N62</f>
        <v>-6100</v>
      </c>
    </row>
    <row r="63" spans="1:15" ht="15.75" x14ac:dyDescent="0.25">
      <c r="A63" s="85">
        <v>2</v>
      </c>
      <c r="B63" s="85">
        <v>2</v>
      </c>
      <c r="C63" s="92">
        <v>3</v>
      </c>
      <c r="D63" s="85">
        <v>2</v>
      </c>
      <c r="E63" s="119"/>
      <c r="F63" s="106" t="s">
        <v>51</v>
      </c>
      <c r="G63" s="108">
        <v>550000</v>
      </c>
      <c r="H63" s="110"/>
      <c r="I63" s="12" t="e">
        <f>+G63-#REF!</f>
        <v>#REF!</v>
      </c>
      <c r="J63" s="110"/>
      <c r="K63" s="110"/>
      <c r="L63" s="110">
        <v>85683.12</v>
      </c>
      <c r="M63" s="110">
        <v>130003.2</v>
      </c>
      <c r="N63" s="103">
        <f>+H63+J63+K63+L63+M63</f>
        <v>215686.32</v>
      </c>
      <c r="O63" s="207">
        <f>+G63-N63</f>
        <v>334313.68</v>
      </c>
    </row>
    <row r="64" spans="1:15" ht="15.75" x14ac:dyDescent="0.25">
      <c r="A64" s="85"/>
      <c r="B64" s="85"/>
      <c r="C64" s="92"/>
      <c r="D64" s="85"/>
      <c r="E64" s="85"/>
      <c r="F64" s="106"/>
      <c r="G64" s="108"/>
      <c r="H64" s="110"/>
      <c r="I64" s="12" t="e">
        <f>+G64-#REF!</f>
        <v>#REF!</v>
      </c>
      <c r="J64" s="110"/>
      <c r="K64" s="110"/>
      <c r="L64" s="110"/>
      <c r="M64" s="110"/>
      <c r="N64" s="110"/>
      <c r="O64" s="207">
        <f>+G64-N64</f>
        <v>0</v>
      </c>
    </row>
    <row r="65" spans="1:15" ht="16.5" thickBot="1" x14ac:dyDescent="0.3">
      <c r="A65" s="85">
        <v>2</v>
      </c>
      <c r="B65" s="85">
        <v>2</v>
      </c>
      <c r="C65" s="92">
        <v>4</v>
      </c>
      <c r="D65" s="85"/>
      <c r="E65" s="85"/>
      <c r="F65" s="104" t="s">
        <v>52</v>
      </c>
      <c r="G65" s="95">
        <f>G66+G67</f>
        <v>280000</v>
      </c>
      <c r="H65" s="105">
        <f>H66+H67</f>
        <v>6910.99</v>
      </c>
      <c r="I65" s="10" t="e">
        <f>+G65-#REF!</f>
        <v>#REF!</v>
      </c>
      <c r="J65" s="105">
        <f>J66+J67</f>
        <v>1600</v>
      </c>
      <c r="K65" s="105">
        <f>K66+K67</f>
        <v>5688.34</v>
      </c>
      <c r="L65" s="105">
        <f>L66+L67</f>
        <v>17923.03</v>
      </c>
      <c r="M65" s="105">
        <f>M66+M67</f>
        <v>35708.619999999995</v>
      </c>
      <c r="N65" s="105">
        <f>N66+N67</f>
        <v>67830.98</v>
      </c>
      <c r="O65" s="206">
        <f>O66+O67+O68</f>
        <v>212169.02000000002</v>
      </c>
    </row>
    <row r="66" spans="1:15" ht="15.75" x14ac:dyDescent="0.25">
      <c r="A66" s="85">
        <v>2</v>
      </c>
      <c r="B66" s="85">
        <v>2</v>
      </c>
      <c r="C66" s="92">
        <v>4</v>
      </c>
      <c r="D66" s="85">
        <v>1</v>
      </c>
      <c r="E66" s="85"/>
      <c r="F66" s="106" t="s">
        <v>53</v>
      </c>
      <c r="G66" s="107">
        <v>280000</v>
      </c>
      <c r="H66" s="110">
        <f>780+6130.99</f>
        <v>6910.99</v>
      </c>
      <c r="I66" s="12" t="e">
        <f>+G66-#REF!</f>
        <v>#REF!</v>
      </c>
      <c r="J66" s="110">
        <f>200+100+100+200+300+200+200+300</f>
        <v>1600</v>
      </c>
      <c r="K66" s="110">
        <f>4338.34+100+100+100+100+100+100+200+50+100+100+100+100+100</f>
        <v>5688.34</v>
      </c>
      <c r="L66" s="110">
        <f>10037.83+100+100+100+7585.2</f>
        <v>17923.03</v>
      </c>
      <c r="M66" s="110">
        <f>26358.62+6850+300+500+300+500+700+200</f>
        <v>35708.619999999995</v>
      </c>
      <c r="N66" s="182">
        <f>+H66+J66+K66+L66+M66</f>
        <v>67830.98</v>
      </c>
      <c r="O66" s="207">
        <f>+G66-N66</f>
        <v>212169.02000000002</v>
      </c>
    </row>
    <row r="67" spans="1:15" ht="15.75" x14ac:dyDescent="0.25">
      <c r="A67" s="85">
        <v>2</v>
      </c>
      <c r="B67" s="85">
        <v>2</v>
      </c>
      <c r="C67" s="92">
        <v>4</v>
      </c>
      <c r="D67" s="85">
        <v>3</v>
      </c>
      <c r="E67" s="85"/>
      <c r="F67" s="106" t="s">
        <v>54</v>
      </c>
      <c r="G67" s="108"/>
      <c r="H67" s="110">
        <v>0</v>
      </c>
      <c r="I67" s="12" t="e">
        <f>+G67-#REF!</f>
        <v>#REF!</v>
      </c>
      <c r="J67" s="110">
        <v>0</v>
      </c>
      <c r="K67" s="110"/>
      <c r="L67" s="110"/>
      <c r="M67" s="110"/>
      <c r="N67" s="110">
        <f>+H67+J67+K67</f>
        <v>0</v>
      </c>
      <c r="O67" s="207">
        <f>+G67-N67</f>
        <v>0</v>
      </c>
    </row>
    <row r="68" spans="1:15" ht="15.75" x14ac:dyDescent="0.25">
      <c r="A68" s="85"/>
      <c r="B68" s="85"/>
      <c r="C68" s="92"/>
      <c r="D68" s="85"/>
      <c r="E68" s="85"/>
      <c r="F68" s="106"/>
      <c r="G68" s="108"/>
      <c r="H68" s="110"/>
      <c r="I68" s="12" t="e">
        <f>+G68-#REF!</f>
        <v>#REF!</v>
      </c>
      <c r="J68" s="110"/>
      <c r="K68" s="110"/>
      <c r="L68" s="110"/>
      <c r="M68" s="110"/>
      <c r="N68" s="110"/>
      <c r="O68" s="207">
        <f>+G68-N68</f>
        <v>0</v>
      </c>
    </row>
    <row r="69" spans="1:15" ht="16.5" thickBot="1" x14ac:dyDescent="0.3">
      <c r="A69" s="85">
        <v>2</v>
      </c>
      <c r="B69" s="85">
        <v>2</v>
      </c>
      <c r="C69" s="92">
        <v>5</v>
      </c>
      <c r="D69" s="85"/>
      <c r="E69" s="85"/>
      <c r="F69" s="104" t="s">
        <v>55</v>
      </c>
      <c r="G69" s="95">
        <f>G70+G75</f>
        <v>10015311</v>
      </c>
      <c r="H69" s="96">
        <f t="shared" ref="H69:O69" si="16">H72+H70</f>
        <v>792285.26</v>
      </c>
      <c r="I69" s="6" t="e">
        <f t="shared" si="16"/>
        <v>#REF!</v>
      </c>
      <c r="J69" s="96">
        <f t="shared" si="16"/>
        <v>801242.44</v>
      </c>
      <c r="K69" s="96">
        <f t="shared" si="16"/>
        <v>801396.64</v>
      </c>
      <c r="L69" s="96">
        <f t="shared" si="16"/>
        <v>806109.24</v>
      </c>
      <c r="M69" s="96">
        <f t="shared" si="16"/>
        <v>792121.59</v>
      </c>
      <c r="N69" s="105">
        <f t="shared" si="16"/>
        <v>3993155.17</v>
      </c>
      <c r="O69" s="202">
        <f t="shared" si="16"/>
        <v>6022155.8300000001</v>
      </c>
    </row>
    <row r="70" spans="1:15" ht="15.75" x14ac:dyDescent="0.25">
      <c r="A70" s="85">
        <v>2</v>
      </c>
      <c r="B70" s="85">
        <v>2</v>
      </c>
      <c r="C70" s="92">
        <v>5</v>
      </c>
      <c r="D70" s="85">
        <v>1</v>
      </c>
      <c r="E70" s="85"/>
      <c r="F70" s="99" t="s">
        <v>56</v>
      </c>
      <c r="G70" s="107">
        <v>9685383</v>
      </c>
      <c r="H70" s="109">
        <f>17098.97+766926.29</f>
        <v>784025.26</v>
      </c>
      <c r="I70" s="13" t="e">
        <f>+G70-#REF!</f>
        <v>#REF!</v>
      </c>
      <c r="J70" s="109">
        <f>17294.32+775688.12</f>
        <v>792982.44</v>
      </c>
      <c r="K70" s="109">
        <f>17297.68+775838.96</f>
        <v>793136.64000000001</v>
      </c>
      <c r="L70" s="109">
        <f>17400.46+780448.78</f>
        <v>797849.24</v>
      </c>
      <c r="M70" s="109">
        <f>766766.19+17095.4</f>
        <v>783861.59</v>
      </c>
      <c r="N70" s="103">
        <f>+H70+J70+K70+L70+M70</f>
        <v>3951855.17</v>
      </c>
      <c r="O70" s="208">
        <f>+G70-N70</f>
        <v>5733527.8300000001</v>
      </c>
    </row>
    <row r="71" spans="1:15" ht="15.75" x14ac:dyDescent="0.25">
      <c r="A71" s="85"/>
      <c r="B71" s="85"/>
      <c r="C71" s="92"/>
      <c r="D71" s="85"/>
      <c r="E71" s="119"/>
      <c r="F71" s="106"/>
      <c r="G71" s="108"/>
      <c r="H71" s="110"/>
      <c r="I71" s="12"/>
      <c r="J71" s="110"/>
      <c r="K71" s="110"/>
      <c r="L71" s="110"/>
      <c r="M71" s="110"/>
      <c r="N71" s="110"/>
      <c r="O71" s="207"/>
    </row>
    <row r="72" spans="1:15" ht="16.5" thickBot="1" x14ac:dyDescent="0.3">
      <c r="A72" s="85">
        <v>2</v>
      </c>
      <c r="B72" s="85">
        <v>2</v>
      </c>
      <c r="C72" s="92">
        <v>5</v>
      </c>
      <c r="D72" s="85">
        <v>3</v>
      </c>
      <c r="E72" s="93"/>
      <c r="F72" s="104" t="s">
        <v>57</v>
      </c>
      <c r="G72" s="95">
        <f t="shared" ref="G72:O72" si="17">G73+G74+G75</f>
        <v>329928</v>
      </c>
      <c r="H72" s="105">
        <f t="shared" si="17"/>
        <v>8260</v>
      </c>
      <c r="I72" s="10" t="e">
        <f t="shared" si="17"/>
        <v>#REF!</v>
      </c>
      <c r="J72" s="105">
        <f t="shared" si="17"/>
        <v>8260</v>
      </c>
      <c r="K72" s="105">
        <f t="shared" si="17"/>
        <v>8260</v>
      </c>
      <c r="L72" s="105">
        <f t="shared" si="17"/>
        <v>8260</v>
      </c>
      <c r="M72" s="105">
        <f>M73+M74+M75</f>
        <v>8260</v>
      </c>
      <c r="N72" s="105">
        <f t="shared" si="17"/>
        <v>41300</v>
      </c>
      <c r="O72" s="206">
        <f t="shared" si="17"/>
        <v>288628</v>
      </c>
    </row>
    <row r="73" spans="1:15" ht="15.75" x14ac:dyDescent="0.25">
      <c r="A73" s="85">
        <v>2</v>
      </c>
      <c r="B73" s="85">
        <v>2</v>
      </c>
      <c r="C73" s="92">
        <v>5</v>
      </c>
      <c r="D73" s="85">
        <v>3</v>
      </c>
      <c r="E73" s="85">
        <v>2</v>
      </c>
      <c r="F73" s="99" t="s">
        <v>58</v>
      </c>
      <c r="G73" s="107"/>
      <c r="H73" s="110">
        <v>0</v>
      </c>
      <c r="I73" s="12" t="e">
        <f>+G73-#REF!</f>
        <v>#REF!</v>
      </c>
      <c r="J73" s="110">
        <v>0</v>
      </c>
      <c r="K73" s="110"/>
      <c r="L73" s="110"/>
      <c r="M73" s="110"/>
      <c r="N73" s="103">
        <f>+H73+J73+K73+L73+M73</f>
        <v>0</v>
      </c>
      <c r="O73" s="207">
        <f>+G73-N73</f>
        <v>0</v>
      </c>
    </row>
    <row r="74" spans="1:15" ht="15.75" x14ac:dyDescent="0.25">
      <c r="A74" s="85">
        <v>2</v>
      </c>
      <c r="B74" s="85">
        <v>2</v>
      </c>
      <c r="C74" s="92">
        <v>5</v>
      </c>
      <c r="D74" s="85">
        <v>3</v>
      </c>
      <c r="E74" s="85">
        <v>3</v>
      </c>
      <c r="F74" s="99" t="s">
        <v>59</v>
      </c>
      <c r="G74" s="108"/>
      <c r="H74" s="110"/>
      <c r="I74" s="12" t="e">
        <f>+G74-#REF!</f>
        <v>#REF!</v>
      </c>
      <c r="J74" s="110"/>
      <c r="K74" s="110"/>
      <c r="L74" s="110"/>
      <c r="M74" s="110"/>
      <c r="N74" s="103">
        <f>+H74+J74+K74+L74+M74</f>
        <v>0</v>
      </c>
      <c r="O74" s="207">
        <f>+G74-N74</f>
        <v>0</v>
      </c>
    </row>
    <row r="75" spans="1:15" ht="31.5" x14ac:dyDescent="0.25">
      <c r="A75" s="85">
        <v>2</v>
      </c>
      <c r="B75" s="85">
        <v>2</v>
      </c>
      <c r="C75" s="92">
        <v>5</v>
      </c>
      <c r="D75" s="85">
        <v>3</v>
      </c>
      <c r="E75" s="85">
        <v>4</v>
      </c>
      <c r="F75" s="99" t="s">
        <v>60</v>
      </c>
      <c r="G75" s="108">
        <v>329928</v>
      </c>
      <c r="H75" s="110">
        <v>8260</v>
      </c>
      <c r="I75" s="12" t="e">
        <f>+G75-#REF!</f>
        <v>#REF!</v>
      </c>
      <c r="J75" s="110">
        <v>8260</v>
      </c>
      <c r="K75" s="110">
        <v>8260</v>
      </c>
      <c r="L75" s="110">
        <v>8260</v>
      </c>
      <c r="M75" s="110">
        <v>8260</v>
      </c>
      <c r="N75" s="103">
        <f>+H75+J75+K75+L75+M75</f>
        <v>41300</v>
      </c>
      <c r="O75" s="207">
        <f>+G75-N75</f>
        <v>288628</v>
      </c>
    </row>
    <row r="76" spans="1:15" ht="15.75" x14ac:dyDescent="0.25">
      <c r="A76" s="85"/>
      <c r="B76" s="85"/>
      <c r="C76" s="92"/>
      <c r="D76" s="85"/>
      <c r="E76" s="85"/>
      <c r="F76" s="99"/>
      <c r="G76" s="108"/>
      <c r="H76" s="110"/>
      <c r="I76" s="12"/>
      <c r="J76" s="110"/>
      <c r="K76" s="110"/>
      <c r="L76" s="110"/>
      <c r="M76" s="110"/>
      <c r="N76" s="110"/>
      <c r="O76" s="207"/>
    </row>
    <row r="77" spans="1:15" ht="16.5" thickBot="1" x14ac:dyDescent="0.3">
      <c r="A77" s="85"/>
      <c r="B77" s="85"/>
      <c r="C77" s="92"/>
      <c r="D77" s="85"/>
      <c r="E77" s="85"/>
      <c r="F77" s="99"/>
      <c r="G77" s="108"/>
      <c r="H77" s="110"/>
      <c r="I77" s="12"/>
      <c r="J77" s="110"/>
      <c r="K77" s="110"/>
      <c r="L77" s="110"/>
      <c r="M77" s="110"/>
      <c r="N77" s="110"/>
      <c r="O77" s="207"/>
    </row>
    <row r="78" spans="1:15" s="21" customFormat="1" ht="16.5" thickBot="1" x14ac:dyDescent="0.3">
      <c r="A78" s="85">
        <v>2</v>
      </c>
      <c r="B78" s="85">
        <v>2</v>
      </c>
      <c r="C78" s="92">
        <v>6</v>
      </c>
      <c r="D78" s="85"/>
      <c r="E78" s="85"/>
      <c r="F78" s="99" t="s">
        <v>61</v>
      </c>
      <c r="G78" s="112">
        <f t="shared" ref="G78:O78" si="18">G80+G79</f>
        <v>1434252</v>
      </c>
      <c r="H78" s="113">
        <f t="shared" si="18"/>
        <v>108478.82</v>
      </c>
      <c r="I78" s="113" t="e">
        <f t="shared" si="18"/>
        <v>#REF!</v>
      </c>
      <c r="J78" s="113">
        <f t="shared" si="18"/>
        <v>108478.82</v>
      </c>
      <c r="K78" s="113">
        <f t="shared" si="18"/>
        <v>191755.74</v>
      </c>
      <c r="L78" s="113">
        <f t="shared" si="18"/>
        <v>229933.34000000003</v>
      </c>
      <c r="M78" s="113">
        <f t="shared" si="18"/>
        <v>125469</v>
      </c>
      <c r="N78" s="113">
        <f t="shared" si="18"/>
        <v>764115.72</v>
      </c>
      <c r="O78" s="209">
        <f t="shared" si="18"/>
        <v>670136.28</v>
      </c>
    </row>
    <row r="79" spans="1:15" ht="16.5" thickBot="1" x14ac:dyDescent="0.3">
      <c r="A79" s="120">
        <v>2</v>
      </c>
      <c r="B79" s="120">
        <v>2</v>
      </c>
      <c r="C79" s="121">
        <v>6</v>
      </c>
      <c r="D79" s="120">
        <v>2</v>
      </c>
      <c r="E79" s="120">
        <v>1</v>
      </c>
      <c r="F79" s="122" t="s">
        <v>62</v>
      </c>
      <c r="G79" s="123">
        <v>125000</v>
      </c>
      <c r="H79" s="98"/>
      <c r="I79" s="16" t="e">
        <f>+G79-#REF!</f>
        <v>#REF!</v>
      </c>
      <c r="J79" s="98"/>
      <c r="K79" s="98"/>
      <c r="L79" s="98">
        <f>101556.1</f>
        <v>101556.1</v>
      </c>
      <c r="M79" s="98"/>
      <c r="N79" s="130">
        <f>+H79+J79+K79+L79+M79</f>
        <v>101556.1</v>
      </c>
      <c r="O79" s="210">
        <f>+G79-N79</f>
        <v>23443.899999999994</v>
      </c>
    </row>
    <row r="80" spans="1:15" ht="15.75" x14ac:dyDescent="0.25">
      <c r="A80" s="85">
        <v>2</v>
      </c>
      <c r="B80" s="85">
        <v>2</v>
      </c>
      <c r="C80" s="92">
        <v>6</v>
      </c>
      <c r="D80" s="85">
        <v>3</v>
      </c>
      <c r="E80" s="85">
        <v>1</v>
      </c>
      <c r="F80" s="99" t="s">
        <v>63</v>
      </c>
      <c r="G80" s="108">
        <v>1309252</v>
      </c>
      <c r="H80" s="110">
        <v>108478.82</v>
      </c>
      <c r="I80" s="12" t="e">
        <f>+G80-#REF!</f>
        <v>#REF!</v>
      </c>
      <c r="J80" s="110">
        <v>108478.82</v>
      </c>
      <c r="K80" s="110">
        <f>113089.65+39242.96+23071.9+16351.23</f>
        <v>191755.74</v>
      </c>
      <c r="L80" s="110">
        <f>112025.61+16351.63</f>
        <v>128377.24</v>
      </c>
      <c r="M80" s="110">
        <v>125469</v>
      </c>
      <c r="N80" s="103">
        <f>+H80+J80+K80+L80+M80</f>
        <v>662559.62</v>
      </c>
      <c r="O80" s="207">
        <f>+G80-N80</f>
        <v>646692.38</v>
      </c>
    </row>
    <row r="81" spans="1:15" ht="15.75" x14ac:dyDescent="0.25">
      <c r="A81" s="85"/>
      <c r="B81" s="85"/>
      <c r="C81" s="92"/>
      <c r="D81" s="85"/>
      <c r="E81" s="85"/>
      <c r="F81" s="99"/>
      <c r="G81" s="108"/>
      <c r="H81" s="110">
        <v>0</v>
      </c>
      <c r="I81" s="12">
        <v>0</v>
      </c>
      <c r="J81" s="110">
        <v>0</v>
      </c>
      <c r="K81" s="110"/>
      <c r="L81" s="110"/>
      <c r="M81" s="110"/>
      <c r="N81" s="103">
        <f>+H81+J81+K81+L81+M81</f>
        <v>0</v>
      </c>
      <c r="O81" s="207">
        <v>0</v>
      </c>
    </row>
    <row r="82" spans="1:15" ht="15.75" x14ac:dyDescent="0.25">
      <c r="A82" s="85"/>
      <c r="B82" s="85"/>
      <c r="C82" s="92"/>
      <c r="D82" s="85"/>
      <c r="E82" s="85"/>
      <c r="F82" s="99"/>
      <c r="G82" s="108"/>
      <c r="H82" s="110"/>
      <c r="I82" s="12"/>
      <c r="J82" s="110"/>
      <c r="K82" s="110"/>
      <c r="L82" s="110"/>
      <c r="M82" s="110"/>
      <c r="N82" s="110"/>
      <c r="O82" s="207"/>
    </row>
    <row r="83" spans="1:15" ht="32.25" thickBot="1" x14ac:dyDescent="0.3">
      <c r="A83" s="85">
        <v>2</v>
      </c>
      <c r="B83" s="85">
        <v>2</v>
      </c>
      <c r="C83" s="92">
        <v>7</v>
      </c>
      <c r="D83" s="85"/>
      <c r="E83" s="93"/>
      <c r="F83" s="104" t="s">
        <v>64</v>
      </c>
      <c r="G83" s="125">
        <f>G84</f>
        <v>45117</v>
      </c>
      <c r="H83" s="96">
        <f t="shared" ref="H83:N83" si="19">SUM(H85:H89)</f>
        <v>19800.52</v>
      </c>
      <c r="I83" s="96" t="e">
        <f t="shared" si="19"/>
        <v>#REF!</v>
      </c>
      <c r="J83" s="96">
        <f t="shared" si="19"/>
        <v>650</v>
      </c>
      <c r="K83" s="96">
        <f t="shared" si="19"/>
        <v>0</v>
      </c>
      <c r="L83" s="96">
        <f t="shared" si="19"/>
        <v>4000</v>
      </c>
      <c r="M83" s="96">
        <f t="shared" si="19"/>
        <v>164125.1</v>
      </c>
      <c r="N83" s="96">
        <f t="shared" si="19"/>
        <v>188575.62</v>
      </c>
      <c r="O83" s="202">
        <f>SUM(O85:O90)</f>
        <v>-143458.62</v>
      </c>
    </row>
    <row r="84" spans="1:15" ht="32.25" thickBot="1" x14ac:dyDescent="0.3">
      <c r="A84" s="85">
        <v>2</v>
      </c>
      <c r="B84" s="85">
        <v>2</v>
      </c>
      <c r="C84" s="92">
        <v>7</v>
      </c>
      <c r="D84" s="85">
        <v>2</v>
      </c>
      <c r="E84" s="93"/>
      <c r="F84" s="104" t="s">
        <v>65</v>
      </c>
      <c r="G84" s="112">
        <f>SUM(G86:G89)</f>
        <v>45117</v>
      </c>
      <c r="H84" s="166">
        <f>SUM(H85:H89)</f>
        <v>19800.52</v>
      </c>
      <c r="I84" s="166" t="e">
        <f t="shared" ref="I84:N84" si="20">SUM(I85:I89)</f>
        <v>#REF!</v>
      </c>
      <c r="J84" s="166">
        <f t="shared" si="20"/>
        <v>650</v>
      </c>
      <c r="K84" s="166">
        <f t="shared" si="20"/>
        <v>0</v>
      </c>
      <c r="L84" s="166">
        <f t="shared" si="20"/>
        <v>4000</v>
      </c>
      <c r="M84" s="166">
        <f>SUM(M85:M89)</f>
        <v>164125.1</v>
      </c>
      <c r="N84" s="166">
        <f t="shared" si="20"/>
        <v>188575.62</v>
      </c>
      <c r="O84" s="213">
        <f>SUM(O85:O89)</f>
        <v>-143458.62</v>
      </c>
    </row>
    <row r="85" spans="1:15" ht="31.5" x14ac:dyDescent="0.25">
      <c r="A85" s="85">
        <v>2</v>
      </c>
      <c r="B85" s="85">
        <v>2</v>
      </c>
      <c r="C85" s="92">
        <v>7</v>
      </c>
      <c r="D85" s="85">
        <v>1</v>
      </c>
      <c r="E85" s="119">
        <v>2</v>
      </c>
      <c r="F85" s="126" t="s">
        <v>66</v>
      </c>
      <c r="G85" s="125"/>
      <c r="H85" s="167"/>
      <c r="I85" s="12" t="e">
        <f>+G85-#REF!</f>
        <v>#REF!</v>
      </c>
      <c r="J85" s="167"/>
      <c r="K85" s="167"/>
      <c r="L85" s="167">
        <f>2000+1500</f>
        <v>3500</v>
      </c>
      <c r="M85" s="167">
        <v>164125.1</v>
      </c>
      <c r="N85" s="182">
        <f>+H85+J85+K85+L85+M85</f>
        <v>167625.1</v>
      </c>
      <c r="O85" s="207">
        <f>+G85-N85</f>
        <v>-167625.1</v>
      </c>
    </row>
    <row r="86" spans="1:15" ht="31.5" x14ac:dyDescent="0.25">
      <c r="A86" s="85">
        <v>2</v>
      </c>
      <c r="B86" s="85">
        <v>2</v>
      </c>
      <c r="C86" s="92">
        <v>7</v>
      </c>
      <c r="D86" s="85">
        <v>2</v>
      </c>
      <c r="E86" s="119">
        <v>2</v>
      </c>
      <c r="F86" s="126" t="s">
        <v>67</v>
      </c>
      <c r="G86" s="108">
        <v>9117</v>
      </c>
      <c r="H86" s="110">
        <v>0</v>
      </c>
      <c r="I86" s="12" t="e">
        <f>+G86-#REF!</f>
        <v>#REF!</v>
      </c>
      <c r="J86" s="110">
        <v>0</v>
      </c>
      <c r="K86" s="110"/>
      <c r="L86" s="110"/>
      <c r="M86" s="110"/>
      <c r="N86" s="103">
        <f>+H86+J86+K86+L86+M86</f>
        <v>0</v>
      </c>
      <c r="O86" s="207">
        <f>+G86-N86</f>
        <v>9117</v>
      </c>
    </row>
    <row r="87" spans="1:15" ht="31.5" x14ac:dyDescent="0.25">
      <c r="A87" s="85">
        <v>2</v>
      </c>
      <c r="B87" s="85">
        <v>2</v>
      </c>
      <c r="C87" s="92">
        <v>7</v>
      </c>
      <c r="D87" s="85">
        <v>2</v>
      </c>
      <c r="E87" s="119">
        <v>3</v>
      </c>
      <c r="F87" s="126" t="s">
        <v>68</v>
      </c>
      <c r="G87" s="108"/>
      <c r="H87" s="110">
        <f>G87*12</f>
        <v>0</v>
      </c>
      <c r="I87" s="12" t="e">
        <f>+G87-#REF!</f>
        <v>#REF!</v>
      </c>
      <c r="J87" s="110"/>
      <c r="K87" s="110"/>
      <c r="L87" s="110"/>
      <c r="M87" s="110"/>
      <c r="N87" s="103">
        <f>+H87+J87+K87+L87+M87</f>
        <v>0</v>
      </c>
      <c r="O87" s="207">
        <f>+G87-N87</f>
        <v>0</v>
      </c>
    </row>
    <row r="88" spans="1:15" ht="31.5" x14ac:dyDescent="0.25">
      <c r="A88" s="85">
        <v>2</v>
      </c>
      <c r="B88" s="85">
        <v>2</v>
      </c>
      <c r="C88" s="92">
        <v>7</v>
      </c>
      <c r="D88" s="85">
        <v>2</v>
      </c>
      <c r="E88" s="119">
        <v>4</v>
      </c>
      <c r="F88" s="126" t="s">
        <v>69</v>
      </c>
      <c r="G88" s="108">
        <v>24000</v>
      </c>
      <c r="H88" s="110"/>
      <c r="I88" s="12" t="e">
        <f>+G88-#REF!</f>
        <v>#REF!</v>
      </c>
      <c r="J88" s="110"/>
      <c r="K88" s="110"/>
      <c r="L88" s="110"/>
      <c r="M88" s="110"/>
      <c r="N88" s="103">
        <f>+H88+J88+K88+L88+M88</f>
        <v>0</v>
      </c>
      <c r="O88" s="207">
        <f>+G88-N88</f>
        <v>24000</v>
      </c>
    </row>
    <row r="89" spans="1:15" ht="31.5" x14ac:dyDescent="0.25">
      <c r="A89" s="85">
        <v>2</v>
      </c>
      <c r="B89" s="85">
        <v>2</v>
      </c>
      <c r="C89" s="92">
        <v>7</v>
      </c>
      <c r="D89" s="85">
        <v>2</v>
      </c>
      <c r="E89" s="119">
        <v>6</v>
      </c>
      <c r="F89" s="126" t="s">
        <v>70</v>
      </c>
      <c r="G89" s="108">
        <v>12000</v>
      </c>
      <c r="H89" s="110">
        <f>9670.1+9530.42+600</f>
        <v>19800.52</v>
      </c>
      <c r="I89" s="12" t="e">
        <f>+G89-#REF!</f>
        <v>#REF!</v>
      </c>
      <c r="J89" s="110">
        <v>650</v>
      </c>
      <c r="K89" s="110"/>
      <c r="L89" s="110">
        <v>500</v>
      </c>
      <c r="M89" s="167"/>
      <c r="N89" s="103">
        <f>+H89+J89+K89+L89+M89</f>
        <v>20950.52</v>
      </c>
      <c r="O89" s="207">
        <f>+G89-N89</f>
        <v>-8950.52</v>
      </c>
    </row>
    <row r="90" spans="1:15" ht="15.75" x14ac:dyDescent="0.25">
      <c r="A90" s="85"/>
      <c r="B90" s="85"/>
      <c r="C90" s="92"/>
      <c r="D90" s="85"/>
      <c r="E90" s="119"/>
      <c r="F90" s="106"/>
      <c r="G90" s="108"/>
      <c r="H90" s="110"/>
      <c r="I90" s="12"/>
      <c r="J90" s="110"/>
      <c r="K90" s="110"/>
      <c r="L90" s="110"/>
      <c r="M90" s="110"/>
      <c r="N90" s="110"/>
      <c r="O90" s="207"/>
    </row>
    <row r="91" spans="1:15" ht="16.5" thickBot="1" x14ac:dyDescent="0.3">
      <c r="A91" s="85">
        <v>2</v>
      </c>
      <c r="B91" s="85">
        <v>2</v>
      </c>
      <c r="C91" s="92">
        <v>8</v>
      </c>
      <c r="D91" s="85"/>
      <c r="E91" s="93"/>
      <c r="F91" s="104" t="s">
        <v>71</v>
      </c>
      <c r="G91" s="125">
        <f>SUM(G92+G93)+G95+G99</f>
        <v>4392936</v>
      </c>
      <c r="H91" s="96">
        <f t="shared" ref="H91:O91" si="21">H92+H93+H95+H99</f>
        <v>256177.13999999998</v>
      </c>
      <c r="I91" s="6" t="e">
        <f t="shared" si="21"/>
        <v>#REF!</v>
      </c>
      <c r="J91" s="96">
        <f t="shared" si="21"/>
        <v>436592.42</v>
      </c>
      <c r="K91" s="96">
        <f t="shared" si="21"/>
        <v>418896.86999999994</v>
      </c>
      <c r="L91" s="96">
        <f t="shared" si="21"/>
        <v>742049.15</v>
      </c>
      <c r="M91" s="96">
        <f t="shared" si="21"/>
        <v>558299.6</v>
      </c>
      <c r="N91" s="105">
        <f t="shared" si="21"/>
        <v>2412015.1800000002</v>
      </c>
      <c r="O91" s="202">
        <f t="shared" si="21"/>
        <v>1980920.8200000003</v>
      </c>
    </row>
    <row r="92" spans="1:15" ht="15.75" x14ac:dyDescent="0.25">
      <c r="A92" s="85">
        <v>2</v>
      </c>
      <c r="B92" s="85">
        <v>2</v>
      </c>
      <c r="C92" s="92">
        <v>8</v>
      </c>
      <c r="D92" s="85">
        <v>2</v>
      </c>
      <c r="E92" s="119"/>
      <c r="F92" s="127" t="s">
        <v>72</v>
      </c>
      <c r="G92" s="107">
        <v>102000</v>
      </c>
      <c r="H92" s="109">
        <v>5155.28</v>
      </c>
      <c r="I92" s="13" t="e">
        <f>+G92-#REF!</f>
        <v>#REF!</v>
      </c>
      <c r="J92" s="109">
        <v>4982.54</v>
      </c>
      <c r="K92" s="109">
        <v>5146.79</v>
      </c>
      <c r="L92" s="109">
        <v>6349.16</v>
      </c>
      <c r="M92" s="109">
        <v>6493.55</v>
      </c>
      <c r="N92" s="103">
        <f>+H92+J92+K92+L92+M92</f>
        <v>28127.32</v>
      </c>
      <c r="O92" s="208">
        <f>+G92-N92</f>
        <v>73872.679999999993</v>
      </c>
    </row>
    <row r="93" spans="1:15" ht="15.75" x14ac:dyDescent="0.25">
      <c r="A93" s="85">
        <v>2</v>
      </c>
      <c r="B93" s="85">
        <v>2</v>
      </c>
      <c r="C93" s="92">
        <v>8</v>
      </c>
      <c r="D93" s="85">
        <v>4</v>
      </c>
      <c r="E93" s="85"/>
      <c r="F93" s="127" t="s">
        <v>73</v>
      </c>
      <c r="G93" s="108">
        <v>0</v>
      </c>
      <c r="H93" s="110">
        <v>0</v>
      </c>
      <c r="I93" s="12">
        <v>0</v>
      </c>
      <c r="J93" s="110">
        <v>0</v>
      </c>
      <c r="K93" s="110"/>
      <c r="L93" s="110">
        <v>11800</v>
      </c>
      <c r="M93" s="110"/>
      <c r="N93" s="103">
        <f>+H93+J93+K93+L93+M93</f>
        <v>11800</v>
      </c>
      <c r="O93" s="207">
        <f>+G93-N93</f>
        <v>-11800</v>
      </c>
    </row>
    <row r="94" spans="1:15" ht="15.75" x14ac:dyDescent="0.25">
      <c r="A94" s="85"/>
      <c r="B94" s="85"/>
      <c r="C94" s="92"/>
      <c r="D94" s="85"/>
      <c r="E94" s="85"/>
      <c r="F94" s="127"/>
      <c r="G94" s="108"/>
      <c r="H94" s="110"/>
      <c r="I94" s="12"/>
      <c r="J94" s="110"/>
      <c r="K94" s="110"/>
      <c r="L94" s="110"/>
      <c r="M94" s="110"/>
      <c r="N94" s="110"/>
      <c r="O94" s="207"/>
    </row>
    <row r="95" spans="1:15" ht="32.25" thickBot="1" x14ac:dyDescent="0.3">
      <c r="A95" s="85">
        <v>2</v>
      </c>
      <c r="B95" s="85">
        <v>2</v>
      </c>
      <c r="C95" s="92">
        <v>8</v>
      </c>
      <c r="D95" s="85">
        <v>6</v>
      </c>
      <c r="E95" s="93"/>
      <c r="F95" s="128" t="s">
        <v>74</v>
      </c>
      <c r="G95" s="125">
        <f t="shared" ref="G95:O95" si="22">G96+G97</f>
        <v>1894000</v>
      </c>
      <c r="H95" s="117">
        <f t="shared" si="22"/>
        <v>0</v>
      </c>
      <c r="I95" s="19" t="e">
        <f t="shared" si="22"/>
        <v>#REF!</v>
      </c>
      <c r="J95" s="117">
        <f t="shared" si="22"/>
        <v>0</v>
      </c>
      <c r="K95" s="117">
        <f t="shared" si="22"/>
        <v>0</v>
      </c>
      <c r="L95" s="117">
        <f t="shared" si="22"/>
        <v>2555</v>
      </c>
      <c r="M95" s="117">
        <f t="shared" si="22"/>
        <v>20746.650000000001</v>
      </c>
      <c r="N95" s="117">
        <f t="shared" si="22"/>
        <v>23301.65</v>
      </c>
      <c r="O95" s="211">
        <f t="shared" si="22"/>
        <v>1870698.35</v>
      </c>
    </row>
    <row r="96" spans="1:15" ht="15.75" x14ac:dyDescent="0.25">
      <c r="A96" s="85">
        <v>2</v>
      </c>
      <c r="B96" s="85">
        <v>2</v>
      </c>
      <c r="C96" s="92">
        <v>8</v>
      </c>
      <c r="D96" s="85">
        <v>6</v>
      </c>
      <c r="E96" s="85">
        <v>1</v>
      </c>
      <c r="F96" s="127" t="s">
        <v>75</v>
      </c>
      <c r="G96" s="107">
        <v>1882000</v>
      </c>
      <c r="H96" s="109">
        <v>0</v>
      </c>
      <c r="I96" s="12" t="e">
        <f>+G96-#REF!</f>
        <v>#REF!</v>
      </c>
      <c r="J96" s="109">
        <v>0</v>
      </c>
      <c r="K96" s="109"/>
      <c r="L96" s="109"/>
      <c r="M96" s="109"/>
      <c r="N96" s="103">
        <f>+H96+J96+K96+L96+M96</f>
        <v>0</v>
      </c>
      <c r="O96" s="207">
        <f>+G96-N96</f>
        <v>1882000</v>
      </c>
    </row>
    <row r="97" spans="1:15" ht="15.75" x14ac:dyDescent="0.25">
      <c r="A97" s="85">
        <v>2</v>
      </c>
      <c r="B97" s="85">
        <v>2</v>
      </c>
      <c r="C97" s="92">
        <v>8</v>
      </c>
      <c r="D97" s="85">
        <v>6</v>
      </c>
      <c r="E97" s="85">
        <v>2</v>
      </c>
      <c r="F97" s="127" t="s">
        <v>76</v>
      </c>
      <c r="G97" s="108">
        <v>12000</v>
      </c>
      <c r="H97" s="110"/>
      <c r="I97" s="12" t="e">
        <f>+G97-#REF!</f>
        <v>#REF!</v>
      </c>
      <c r="J97" s="110"/>
      <c r="K97" s="110"/>
      <c r="L97" s="110">
        <f>2175+380</f>
        <v>2555</v>
      </c>
      <c r="M97" s="110">
        <f>15620+529.95+1644.7+120+2832</f>
        <v>20746.650000000001</v>
      </c>
      <c r="N97" s="103">
        <f>+H97+J97+K97+L97+M97</f>
        <v>23301.65</v>
      </c>
      <c r="O97" s="207">
        <f>+G97-N97</f>
        <v>-11301.650000000001</v>
      </c>
    </row>
    <row r="98" spans="1:15" ht="15.75" x14ac:dyDescent="0.25">
      <c r="A98" s="85"/>
      <c r="B98" s="85"/>
      <c r="C98" s="92"/>
      <c r="D98" s="85"/>
      <c r="E98" s="85"/>
      <c r="F98" s="127"/>
      <c r="G98" s="108"/>
      <c r="H98" s="110">
        <v>0</v>
      </c>
      <c r="I98" s="12">
        <v>0</v>
      </c>
      <c r="J98" s="110">
        <v>0</v>
      </c>
      <c r="K98" s="110"/>
      <c r="L98" s="110"/>
      <c r="M98" s="110"/>
      <c r="N98" s="110"/>
      <c r="O98" s="207"/>
    </row>
    <row r="99" spans="1:15" ht="16.5" thickBot="1" x14ac:dyDescent="0.3">
      <c r="A99" s="85">
        <v>2</v>
      </c>
      <c r="B99" s="85">
        <v>2</v>
      </c>
      <c r="C99" s="92">
        <v>8</v>
      </c>
      <c r="D99" s="85">
        <v>7</v>
      </c>
      <c r="E99" s="93"/>
      <c r="F99" s="128" t="s">
        <v>77</v>
      </c>
      <c r="G99" s="129">
        <f t="shared" ref="G99:O99" si="23">G100+G101+G102+G103+G104</f>
        <v>2396936</v>
      </c>
      <c r="H99" s="118">
        <f t="shared" si="23"/>
        <v>251021.86</v>
      </c>
      <c r="I99" s="6" t="e">
        <f t="shared" si="23"/>
        <v>#REF!</v>
      </c>
      <c r="J99" s="118">
        <f t="shared" si="23"/>
        <v>431609.88</v>
      </c>
      <c r="K99" s="118">
        <f t="shared" si="23"/>
        <v>413750.07999999996</v>
      </c>
      <c r="L99" s="118">
        <f>L100+L101+L102+L103+L104</f>
        <v>721344.99</v>
      </c>
      <c r="M99" s="118">
        <f>M100+M101+M102+M103+M104</f>
        <v>531059.4</v>
      </c>
      <c r="N99" s="118">
        <f t="shared" si="23"/>
        <v>2348786.21</v>
      </c>
      <c r="O99" s="202">
        <f t="shared" si="23"/>
        <v>48149.790000000154</v>
      </c>
    </row>
    <row r="100" spans="1:15" ht="15.75" x14ac:dyDescent="0.25">
      <c r="A100" s="85">
        <v>2</v>
      </c>
      <c r="B100" s="85">
        <v>2</v>
      </c>
      <c r="C100" s="92">
        <v>8</v>
      </c>
      <c r="D100" s="85">
        <v>7</v>
      </c>
      <c r="E100" s="85">
        <v>1</v>
      </c>
      <c r="F100" s="106" t="s">
        <v>78</v>
      </c>
      <c r="G100" s="108">
        <v>500000</v>
      </c>
      <c r="H100" s="110">
        <v>0</v>
      </c>
      <c r="I100" s="13" t="e">
        <f>+G100-#REF!</f>
        <v>#REF!</v>
      </c>
      <c r="J100" s="110">
        <v>0</v>
      </c>
      <c r="K100" s="110"/>
      <c r="L100" s="110"/>
      <c r="M100" s="110"/>
      <c r="N100" s="103">
        <f>+H100+J100+K100+L100+M100</f>
        <v>0</v>
      </c>
      <c r="O100" s="208">
        <f>+G100-N100</f>
        <v>500000</v>
      </c>
    </row>
    <row r="101" spans="1:15" ht="15.75" x14ac:dyDescent="0.25">
      <c r="A101" s="85">
        <v>2</v>
      </c>
      <c r="B101" s="85">
        <v>2</v>
      </c>
      <c r="C101" s="92">
        <v>8</v>
      </c>
      <c r="D101" s="85">
        <v>7</v>
      </c>
      <c r="E101" s="119">
        <v>3</v>
      </c>
      <c r="F101" s="106" t="s">
        <v>79</v>
      </c>
      <c r="G101" s="108">
        <v>300000</v>
      </c>
      <c r="H101" s="110"/>
      <c r="I101" s="24" t="e">
        <f>+G101-#REF!</f>
        <v>#REF!</v>
      </c>
      <c r="J101" s="110"/>
      <c r="K101" s="110">
        <v>48000</v>
      </c>
      <c r="L101" s="110"/>
      <c r="M101" s="110">
        <v>192000</v>
      </c>
      <c r="N101" s="103">
        <f>+H101+J101+K101+L101+M101</f>
        <v>240000</v>
      </c>
      <c r="O101" s="214">
        <f>+G101-N101</f>
        <v>60000</v>
      </c>
    </row>
    <row r="102" spans="1:15" ht="15.75" x14ac:dyDescent="0.25">
      <c r="A102" s="85">
        <v>2</v>
      </c>
      <c r="B102" s="85">
        <v>2</v>
      </c>
      <c r="C102" s="92">
        <v>8</v>
      </c>
      <c r="D102" s="85">
        <v>7</v>
      </c>
      <c r="E102" s="85">
        <v>4</v>
      </c>
      <c r="F102" s="106" t="s">
        <v>80</v>
      </c>
      <c r="G102" s="108"/>
      <c r="H102" s="110">
        <v>10000</v>
      </c>
      <c r="I102" s="24" t="e">
        <f>+G102-#REF!</f>
        <v>#REF!</v>
      </c>
      <c r="J102" s="110"/>
      <c r="K102" s="110">
        <v>5000</v>
      </c>
      <c r="L102" s="110">
        <v>16640</v>
      </c>
      <c r="M102" s="110">
        <v>11700</v>
      </c>
      <c r="N102" s="103">
        <f>+H102+J102+K102+L102+M102</f>
        <v>43340</v>
      </c>
      <c r="O102" s="214">
        <f>+G102-N102</f>
        <v>-43340</v>
      </c>
    </row>
    <row r="103" spans="1:15" ht="31.5" x14ac:dyDescent="0.25">
      <c r="A103" s="85">
        <v>2</v>
      </c>
      <c r="B103" s="85">
        <v>2</v>
      </c>
      <c r="C103" s="92">
        <v>8</v>
      </c>
      <c r="D103" s="85">
        <v>7</v>
      </c>
      <c r="E103" s="85">
        <v>5</v>
      </c>
      <c r="F103" s="106" t="s">
        <v>81</v>
      </c>
      <c r="G103" s="108">
        <v>12000</v>
      </c>
      <c r="H103" s="110">
        <v>3233.36</v>
      </c>
      <c r="I103" s="24" t="e">
        <f>+G103-#REF!</f>
        <v>#REF!</v>
      </c>
      <c r="J103" s="110"/>
      <c r="K103" s="110">
        <v>5655.28</v>
      </c>
      <c r="L103" s="110">
        <v>51829.599999999999</v>
      </c>
      <c r="M103" s="110">
        <v>4770.8999999999996</v>
      </c>
      <c r="N103" s="103">
        <f>+H103+J103+K103+L103+M103</f>
        <v>65489.14</v>
      </c>
      <c r="O103" s="214">
        <f>+G103-N103</f>
        <v>-53489.14</v>
      </c>
    </row>
    <row r="104" spans="1:15" ht="15.75" x14ac:dyDescent="0.25">
      <c r="A104" s="85">
        <v>2</v>
      </c>
      <c r="B104" s="85">
        <v>2</v>
      </c>
      <c r="C104" s="92">
        <v>8</v>
      </c>
      <c r="D104" s="85">
        <v>7</v>
      </c>
      <c r="E104" s="85">
        <v>6</v>
      </c>
      <c r="F104" s="106" t="s">
        <v>82</v>
      </c>
      <c r="G104" s="108">
        <v>1584936</v>
      </c>
      <c r="H104" s="110">
        <f>38200+11800+43563+144225.5</f>
        <v>237788.5</v>
      </c>
      <c r="I104" s="24" t="e">
        <f>+G104-#REF!</f>
        <v>#REF!</v>
      </c>
      <c r="J104" s="110">
        <f>12000+21240+177541.38+11800+144225.5+43563+21240</f>
        <v>431609.88</v>
      </c>
      <c r="K104" s="110">
        <f>10620+26886.3+118000+11800+144225.5+43563</f>
        <v>355094.8</v>
      </c>
      <c r="L104" s="110">
        <f>29500+110963.37+6608+42480+90935.52+144225.5+11800+118000+43563+54800</f>
        <v>652875.39</v>
      </c>
      <c r="M104" s="110">
        <f>5000+43563+144225.5+118000+11800</f>
        <v>322588.5</v>
      </c>
      <c r="N104" s="103">
        <f>+H104+J104+K104+L104+M104</f>
        <v>1999957.0699999998</v>
      </c>
      <c r="O104" s="214">
        <f>+G104-N104</f>
        <v>-415021.06999999983</v>
      </c>
    </row>
    <row r="105" spans="1:15" ht="16.5" thickBot="1" x14ac:dyDescent="0.3">
      <c r="A105" s="85"/>
      <c r="B105" s="85"/>
      <c r="C105" s="92"/>
      <c r="D105" s="85"/>
      <c r="E105" s="85"/>
      <c r="F105" s="106"/>
      <c r="G105" s="111"/>
      <c r="H105" s="117"/>
      <c r="I105" s="19"/>
      <c r="J105" s="117"/>
      <c r="K105" s="117"/>
      <c r="L105" s="117"/>
      <c r="M105" s="117"/>
      <c r="N105" s="117"/>
      <c r="O105" s="211"/>
    </row>
    <row r="106" spans="1:15" ht="16.5" thickBot="1" x14ac:dyDescent="0.3">
      <c r="A106" s="85">
        <v>2</v>
      </c>
      <c r="B106" s="85">
        <v>2</v>
      </c>
      <c r="C106" s="92">
        <v>9</v>
      </c>
      <c r="D106" s="85"/>
      <c r="E106" s="85"/>
      <c r="F106" s="104" t="s">
        <v>83</v>
      </c>
      <c r="G106" s="100">
        <f>G107+G108</f>
        <v>12000</v>
      </c>
      <c r="H106" s="168">
        <f t="shared" ref="H106:O106" si="24">H107+H108</f>
        <v>33893.49</v>
      </c>
      <c r="I106" s="25" t="e">
        <f t="shared" si="24"/>
        <v>#REF!</v>
      </c>
      <c r="J106" s="168">
        <f t="shared" si="24"/>
        <v>47097.1</v>
      </c>
      <c r="K106" s="168">
        <f t="shared" si="24"/>
        <v>15197.85</v>
      </c>
      <c r="L106" s="168">
        <f>L107+L108</f>
        <v>103340.88</v>
      </c>
      <c r="M106" s="168">
        <f>M107+M108</f>
        <v>5899.8</v>
      </c>
      <c r="N106" s="168">
        <f t="shared" si="24"/>
        <v>205429.12</v>
      </c>
      <c r="O106" s="215">
        <f t="shared" si="24"/>
        <v>-193429.12</v>
      </c>
    </row>
    <row r="107" spans="1:15" ht="16.5" thickBot="1" x14ac:dyDescent="0.3">
      <c r="A107" s="85">
        <v>2</v>
      </c>
      <c r="B107" s="85">
        <v>2</v>
      </c>
      <c r="C107" s="92">
        <v>9</v>
      </c>
      <c r="D107" s="85">
        <v>2</v>
      </c>
      <c r="E107" s="85"/>
      <c r="F107" s="127" t="s">
        <v>84</v>
      </c>
      <c r="G107" s="97"/>
      <c r="H107" s="130"/>
      <c r="I107" s="26" t="e">
        <f>+G107-#REF!</f>
        <v>#REF!</v>
      </c>
      <c r="J107" s="130"/>
      <c r="K107" s="130"/>
      <c r="L107" s="130"/>
      <c r="M107" s="130"/>
      <c r="N107" s="130"/>
      <c r="O107" s="216"/>
    </row>
    <row r="108" spans="1:15" ht="15.75" x14ac:dyDescent="0.25">
      <c r="A108" s="85">
        <v>2</v>
      </c>
      <c r="B108" s="85">
        <v>2</v>
      </c>
      <c r="C108" s="92">
        <v>9</v>
      </c>
      <c r="D108" s="85">
        <v>2</v>
      </c>
      <c r="E108" s="85">
        <v>1</v>
      </c>
      <c r="F108" s="106" t="s">
        <v>84</v>
      </c>
      <c r="G108" s="108">
        <v>12000</v>
      </c>
      <c r="H108" s="110">
        <f>2066.99+300+175+300+275+175+300+300+30001.5</f>
        <v>33893.49</v>
      </c>
      <c r="I108" s="12" t="e">
        <f>+G108-#REF!</f>
        <v>#REF!</v>
      </c>
      <c r="J108" s="110">
        <f>300+175+145+791.7+400+470+750+475+400+100+265+12823.9+30001.5</f>
        <v>47097.1</v>
      </c>
      <c r="K108" s="110">
        <f>3872+8791+375+245+300+759.85+300+80+475</f>
        <v>15197.85</v>
      </c>
      <c r="L108" s="110">
        <f>9513.6+315+400+315+175+315+1087.28+315+350+385+89680+315+175</f>
        <v>103340.88</v>
      </c>
      <c r="M108" s="110">
        <f>639.8+175+315+310+300+485+475+300+2900</f>
        <v>5899.8</v>
      </c>
      <c r="N108" s="103">
        <f>+H108+J108+K108+L108+M108</f>
        <v>205429.12</v>
      </c>
      <c r="O108" s="207">
        <f>+G108-N108</f>
        <v>-193429.12</v>
      </c>
    </row>
    <row r="109" spans="1:15" ht="15.75" x14ac:dyDescent="0.25">
      <c r="A109" s="85"/>
      <c r="B109" s="85"/>
      <c r="C109" s="92"/>
      <c r="D109" s="85"/>
      <c r="E109" s="85"/>
      <c r="F109" s="106"/>
      <c r="G109" s="108"/>
      <c r="H109" s="110"/>
      <c r="I109" s="12"/>
      <c r="J109" s="110"/>
      <c r="K109" s="110"/>
      <c r="L109" s="110"/>
      <c r="M109" s="110"/>
      <c r="N109" s="110"/>
      <c r="O109" s="207"/>
    </row>
    <row r="110" spans="1:15" ht="16.5" thickBot="1" x14ac:dyDescent="0.3">
      <c r="A110" s="85">
        <v>2</v>
      </c>
      <c r="B110" s="85">
        <v>3</v>
      </c>
      <c r="C110" s="92"/>
      <c r="D110" s="85"/>
      <c r="E110" s="93"/>
      <c r="F110" s="104" t="s">
        <v>85</v>
      </c>
      <c r="G110" s="95">
        <f>G111+G115+G118+G124+G128+G136</f>
        <v>729304</v>
      </c>
      <c r="H110" s="165">
        <f>H111+H115+H118+H124+H128+H136</f>
        <v>85512.01</v>
      </c>
      <c r="I110" s="165" t="e">
        <f>I111+I115+I118+I124+I128+I136</f>
        <v>#REF!</v>
      </c>
      <c r="J110" s="165">
        <f t="shared" ref="J110:O110" si="25">J111+J115+J118+J124+J128+J136</f>
        <v>77786.3</v>
      </c>
      <c r="K110" s="165">
        <f t="shared" si="25"/>
        <v>60480</v>
      </c>
      <c r="L110" s="165">
        <f t="shared" si="25"/>
        <v>127356.73999999999</v>
      </c>
      <c r="M110" s="165">
        <f t="shared" si="25"/>
        <v>91216.950000000012</v>
      </c>
      <c r="N110" s="165">
        <f t="shared" si="25"/>
        <v>442352</v>
      </c>
      <c r="O110" s="201">
        <f t="shared" si="25"/>
        <v>286952</v>
      </c>
    </row>
    <row r="111" spans="1:15" ht="32.25" thickBot="1" x14ac:dyDescent="0.3">
      <c r="A111" s="85">
        <v>2</v>
      </c>
      <c r="B111" s="85">
        <v>3</v>
      </c>
      <c r="C111" s="92">
        <v>1</v>
      </c>
      <c r="D111" s="85"/>
      <c r="E111" s="93"/>
      <c r="F111" s="131" t="s">
        <v>86</v>
      </c>
      <c r="G111" s="112">
        <f t="shared" ref="G111:N111" si="26">G112</f>
        <v>0</v>
      </c>
      <c r="H111" s="113">
        <f t="shared" si="26"/>
        <v>0</v>
      </c>
      <c r="I111" s="15">
        <f t="shared" si="26"/>
        <v>0</v>
      </c>
      <c r="J111" s="113">
        <f t="shared" si="26"/>
        <v>0</v>
      </c>
      <c r="K111" s="113">
        <f t="shared" si="26"/>
        <v>0</v>
      </c>
      <c r="L111" s="113">
        <f t="shared" si="26"/>
        <v>0</v>
      </c>
      <c r="M111" s="113"/>
      <c r="N111" s="113">
        <f t="shared" si="26"/>
        <v>0</v>
      </c>
      <c r="O111" s="209">
        <f>O112</f>
        <v>0</v>
      </c>
    </row>
    <row r="112" spans="1:15" ht="15.75" x14ac:dyDescent="0.25">
      <c r="A112" s="85">
        <v>2</v>
      </c>
      <c r="B112" s="85">
        <v>3</v>
      </c>
      <c r="C112" s="92">
        <v>1</v>
      </c>
      <c r="D112" s="85">
        <v>1</v>
      </c>
      <c r="E112" s="93"/>
      <c r="F112" s="132" t="s">
        <v>87</v>
      </c>
      <c r="G112" s="108">
        <f>G113</f>
        <v>0</v>
      </c>
      <c r="H112" s="103"/>
      <c r="I112" s="9"/>
      <c r="J112" s="103"/>
      <c r="K112" s="103"/>
      <c r="L112" s="103"/>
      <c r="M112" s="103"/>
      <c r="N112" s="182">
        <f>+H112+J112+K112+L112+M112</f>
        <v>0</v>
      </c>
      <c r="O112" s="205"/>
    </row>
    <row r="113" spans="1:15" ht="15.75" x14ac:dyDescent="0.25">
      <c r="A113" s="85">
        <v>2</v>
      </c>
      <c r="B113" s="85">
        <v>3</v>
      </c>
      <c r="C113" s="92">
        <v>1</v>
      </c>
      <c r="D113" s="85">
        <v>1</v>
      </c>
      <c r="E113" s="93">
        <v>1</v>
      </c>
      <c r="F113" s="132" t="s">
        <v>87</v>
      </c>
      <c r="G113" s="108"/>
      <c r="H113" s="110">
        <v>0</v>
      </c>
      <c r="I113" s="12">
        <v>0</v>
      </c>
      <c r="J113" s="110">
        <v>0</v>
      </c>
      <c r="K113" s="110"/>
      <c r="L113" s="110"/>
      <c r="M113" s="110"/>
      <c r="N113" s="103">
        <f>+H113+J113+K113+L113+M113</f>
        <v>0</v>
      </c>
      <c r="O113" s="207">
        <v>0</v>
      </c>
    </row>
    <row r="114" spans="1:15" ht="15.75" x14ac:dyDescent="0.25">
      <c r="A114" s="85"/>
      <c r="B114" s="85"/>
      <c r="C114" s="92"/>
      <c r="D114" s="85"/>
      <c r="E114" s="93"/>
      <c r="F114" s="131"/>
      <c r="G114" s="108"/>
      <c r="H114" s="110"/>
      <c r="I114" s="12"/>
      <c r="J114" s="110"/>
      <c r="K114" s="110"/>
      <c r="L114" s="110"/>
      <c r="M114" s="110"/>
      <c r="N114" s="110"/>
      <c r="O114" s="207"/>
    </row>
    <row r="115" spans="1:15" ht="16.5" thickBot="1" x14ac:dyDescent="0.3">
      <c r="A115" s="85">
        <v>2</v>
      </c>
      <c r="B115" s="85">
        <v>3</v>
      </c>
      <c r="C115" s="92">
        <v>2</v>
      </c>
      <c r="D115" s="85"/>
      <c r="E115" s="93"/>
      <c r="F115" s="131" t="s">
        <v>88</v>
      </c>
      <c r="G115" s="108"/>
      <c r="H115" s="110">
        <f t="shared" ref="H115:O115" si="27">H116</f>
        <v>0</v>
      </c>
      <c r="I115" s="12">
        <f t="shared" si="27"/>
        <v>0</v>
      </c>
      <c r="J115" s="110">
        <f t="shared" si="27"/>
        <v>0</v>
      </c>
      <c r="K115" s="110">
        <f t="shared" si="27"/>
        <v>0</v>
      </c>
      <c r="L115" s="110">
        <f t="shared" si="27"/>
        <v>0</v>
      </c>
      <c r="M115" s="110">
        <f t="shared" si="27"/>
        <v>0</v>
      </c>
      <c r="N115" s="117">
        <f t="shared" si="27"/>
        <v>0</v>
      </c>
      <c r="O115" s="207">
        <f t="shared" si="27"/>
        <v>0</v>
      </c>
    </row>
    <row r="116" spans="1:15" ht="15.75" x14ac:dyDescent="0.25">
      <c r="A116" s="85">
        <v>2</v>
      </c>
      <c r="B116" s="85">
        <v>3</v>
      </c>
      <c r="C116" s="92">
        <v>2</v>
      </c>
      <c r="D116" s="85">
        <v>3</v>
      </c>
      <c r="E116" s="93"/>
      <c r="F116" s="132" t="s">
        <v>89</v>
      </c>
      <c r="G116" s="107"/>
      <c r="H116" s="109">
        <v>0</v>
      </c>
      <c r="I116" s="13">
        <v>0</v>
      </c>
      <c r="J116" s="109">
        <v>0</v>
      </c>
      <c r="K116" s="109"/>
      <c r="L116" s="109"/>
      <c r="M116" s="109"/>
      <c r="N116" s="103">
        <f>+H116+J116+K116+L116+M116</f>
        <v>0</v>
      </c>
      <c r="O116" s="208">
        <v>0</v>
      </c>
    </row>
    <row r="117" spans="1:15" s="17" customFormat="1" ht="15.75" x14ac:dyDescent="0.25">
      <c r="A117" s="85"/>
      <c r="B117" s="85"/>
      <c r="C117" s="92"/>
      <c r="D117" s="85"/>
      <c r="E117" s="93"/>
      <c r="F117" s="131"/>
      <c r="G117" s="108"/>
      <c r="H117" s="103"/>
      <c r="I117" s="9"/>
      <c r="J117" s="103"/>
      <c r="K117" s="103"/>
      <c r="L117" s="103"/>
      <c r="M117" s="103"/>
      <c r="N117" s="103"/>
      <c r="O117" s="205"/>
    </row>
    <row r="118" spans="1:15" ht="32.25" thickBot="1" x14ac:dyDescent="0.3">
      <c r="A118" s="85">
        <v>2</v>
      </c>
      <c r="B118" s="115">
        <v>3</v>
      </c>
      <c r="C118" s="116">
        <v>3</v>
      </c>
      <c r="D118" s="93"/>
      <c r="E118" s="93"/>
      <c r="F118" s="104" t="s">
        <v>90</v>
      </c>
      <c r="G118" s="95">
        <f t="shared" ref="G118:O118" si="28">G119+G120+G121+G122</f>
        <v>101500</v>
      </c>
      <c r="H118" s="105">
        <f t="shared" si="28"/>
        <v>0</v>
      </c>
      <c r="I118" s="10" t="e">
        <f t="shared" si="28"/>
        <v>#REF!</v>
      </c>
      <c r="J118" s="105">
        <f t="shared" si="28"/>
        <v>708</v>
      </c>
      <c r="K118" s="105">
        <f t="shared" si="28"/>
        <v>0</v>
      </c>
      <c r="L118" s="105">
        <f t="shared" si="28"/>
        <v>0</v>
      </c>
      <c r="M118" s="105">
        <f t="shared" si="28"/>
        <v>0</v>
      </c>
      <c r="N118" s="105">
        <f t="shared" si="28"/>
        <v>708</v>
      </c>
      <c r="O118" s="202">
        <f t="shared" si="28"/>
        <v>100792</v>
      </c>
    </row>
    <row r="119" spans="1:15" ht="15.75" x14ac:dyDescent="0.25">
      <c r="A119" s="85">
        <v>2</v>
      </c>
      <c r="B119" s="85">
        <v>3</v>
      </c>
      <c r="C119" s="92">
        <v>3</v>
      </c>
      <c r="D119" s="85">
        <v>1</v>
      </c>
      <c r="E119" s="85"/>
      <c r="F119" s="127" t="s">
        <v>91</v>
      </c>
      <c r="G119" s="107">
        <v>68000</v>
      </c>
      <c r="H119" s="109"/>
      <c r="I119" s="12" t="e">
        <f>+G119-#REF!</f>
        <v>#REF!</v>
      </c>
      <c r="J119" s="109"/>
      <c r="K119" s="109"/>
      <c r="L119" s="109"/>
      <c r="M119" s="109"/>
      <c r="N119" s="196">
        <f>+H119+J119+K119+L119+M119</f>
        <v>0</v>
      </c>
      <c r="O119" s="219">
        <f>+G119-N119</f>
        <v>68000</v>
      </c>
    </row>
    <row r="120" spans="1:15" ht="15.75" x14ac:dyDescent="0.25">
      <c r="A120" s="85">
        <v>2</v>
      </c>
      <c r="B120" s="85">
        <v>3</v>
      </c>
      <c r="C120" s="92">
        <v>3</v>
      </c>
      <c r="D120" s="85">
        <v>2</v>
      </c>
      <c r="E120" s="85"/>
      <c r="F120" s="127" t="s">
        <v>92</v>
      </c>
      <c r="G120" s="108">
        <v>23000</v>
      </c>
      <c r="H120" s="110">
        <v>0</v>
      </c>
      <c r="I120" s="12" t="e">
        <f>+G120-#REF!</f>
        <v>#REF!</v>
      </c>
      <c r="J120" s="110">
        <v>0</v>
      </c>
      <c r="K120" s="110"/>
      <c r="L120" s="110"/>
      <c r="M120" s="110"/>
      <c r="N120" s="196">
        <f>+H120+J120+K120+L120+M120</f>
        <v>0</v>
      </c>
      <c r="O120" s="220">
        <f>+G120-N120</f>
        <v>23000</v>
      </c>
    </row>
    <row r="121" spans="1:15" ht="15.75" x14ac:dyDescent="0.25">
      <c r="A121" s="85">
        <v>2</v>
      </c>
      <c r="B121" s="85">
        <v>3</v>
      </c>
      <c r="C121" s="92">
        <v>3</v>
      </c>
      <c r="D121" s="85">
        <v>3</v>
      </c>
      <c r="E121" s="85"/>
      <c r="F121" s="127" t="s">
        <v>93</v>
      </c>
      <c r="G121" s="108">
        <v>0</v>
      </c>
      <c r="H121" s="110">
        <v>0</v>
      </c>
      <c r="I121" s="12">
        <v>0</v>
      </c>
      <c r="J121" s="110">
        <v>708</v>
      </c>
      <c r="K121" s="110"/>
      <c r="L121" s="110"/>
      <c r="M121" s="110"/>
      <c r="N121" s="196">
        <f>+H121+J121+K121+L121+M121</f>
        <v>708</v>
      </c>
      <c r="O121" s="220">
        <f>+G121-N121</f>
        <v>-708</v>
      </c>
    </row>
    <row r="122" spans="1:15" ht="15.75" x14ac:dyDescent="0.25">
      <c r="A122" s="85">
        <v>2</v>
      </c>
      <c r="B122" s="85">
        <v>3</v>
      </c>
      <c r="C122" s="92">
        <v>3</v>
      </c>
      <c r="D122" s="85">
        <v>4</v>
      </c>
      <c r="E122" s="85"/>
      <c r="F122" s="127" t="s">
        <v>94</v>
      </c>
      <c r="G122" s="108">
        <v>10500</v>
      </c>
      <c r="H122" s="110"/>
      <c r="I122" s="12" t="e">
        <f>+G122-#REF!</f>
        <v>#REF!</v>
      </c>
      <c r="J122" s="110"/>
      <c r="K122" s="110"/>
      <c r="L122" s="110"/>
      <c r="M122" s="110"/>
      <c r="N122" s="183">
        <f>+H122+J122+K122+L122</f>
        <v>0</v>
      </c>
      <c r="O122" s="220">
        <f>+G122-N122</f>
        <v>10500</v>
      </c>
    </row>
    <row r="123" spans="1:15" s="28" customFormat="1" ht="16.5" thickBot="1" x14ac:dyDescent="0.3">
      <c r="A123" s="85"/>
      <c r="B123" s="85"/>
      <c r="C123" s="92"/>
      <c r="D123" s="85"/>
      <c r="E123" s="85"/>
      <c r="F123" s="127"/>
      <c r="G123" s="108"/>
      <c r="H123" s="110"/>
      <c r="I123" s="12"/>
      <c r="J123" s="110"/>
      <c r="K123" s="110"/>
      <c r="L123" s="110"/>
      <c r="M123" s="110"/>
      <c r="N123" s="196">
        <f>+H123+J123+K123+L123+M123</f>
        <v>0</v>
      </c>
      <c r="O123" s="220"/>
    </row>
    <row r="124" spans="1:15" s="28" customFormat="1" ht="32.25" thickBot="1" x14ac:dyDescent="0.3">
      <c r="A124" s="93">
        <v>2</v>
      </c>
      <c r="B124" s="93">
        <v>3</v>
      </c>
      <c r="C124" s="133">
        <v>7</v>
      </c>
      <c r="D124" s="93"/>
      <c r="E124" s="93"/>
      <c r="F124" s="128" t="s">
        <v>95</v>
      </c>
      <c r="G124" s="95">
        <f t="shared" ref="G124:O125" si="29">G125</f>
        <v>300000</v>
      </c>
      <c r="H124" s="117">
        <f t="shared" si="29"/>
        <v>0</v>
      </c>
      <c r="I124" s="16" t="e">
        <f t="shared" si="29"/>
        <v>#REF!</v>
      </c>
      <c r="J124" s="117">
        <f t="shared" si="29"/>
        <v>0</v>
      </c>
      <c r="K124" s="117">
        <f t="shared" si="29"/>
        <v>60000</v>
      </c>
      <c r="L124" s="117">
        <f t="shared" si="29"/>
        <v>0</v>
      </c>
      <c r="M124" s="117">
        <f t="shared" si="29"/>
        <v>0</v>
      </c>
      <c r="N124" s="218">
        <f t="shared" si="29"/>
        <v>60000</v>
      </c>
      <c r="O124" s="221">
        <f t="shared" si="29"/>
        <v>240000</v>
      </c>
    </row>
    <row r="125" spans="1:15" s="29" customFormat="1" ht="16.5" thickBot="1" x14ac:dyDescent="0.3">
      <c r="A125" s="93">
        <v>2</v>
      </c>
      <c r="B125" s="93">
        <v>3</v>
      </c>
      <c r="C125" s="133">
        <v>7</v>
      </c>
      <c r="D125" s="93">
        <v>1</v>
      </c>
      <c r="E125" s="93"/>
      <c r="F125" s="128" t="s">
        <v>96</v>
      </c>
      <c r="G125" s="95">
        <f t="shared" si="29"/>
        <v>300000</v>
      </c>
      <c r="H125" s="98">
        <f t="shared" si="29"/>
        <v>0</v>
      </c>
      <c r="I125" s="16" t="e">
        <f>I126</f>
        <v>#REF!</v>
      </c>
      <c r="J125" s="98">
        <f t="shared" si="29"/>
        <v>0</v>
      </c>
      <c r="K125" s="98">
        <f t="shared" si="29"/>
        <v>60000</v>
      </c>
      <c r="L125" s="98">
        <f t="shared" si="29"/>
        <v>0</v>
      </c>
      <c r="M125" s="98">
        <f t="shared" si="29"/>
        <v>0</v>
      </c>
      <c r="N125" s="98">
        <f t="shared" si="29"/>
        <v>60000</v>
      </c>
      <c r="O125" s="211">
        <f>O126</f>
        <v>240000</v>
      </c>
    </row>
    <row r="126" spans="1:15" ht="15.75" x14ac:dyDescent="0.25">
      <c r="A126" s="119">
        <v>2</v>
      </c>
      <c r="B126" s="119">
        <v>3</v>
      </c>
      <c r="C126" s="134">
        <v>7</v>
      </c>
      <c r="D126" s="119">
        <v>1</v>
      </c>
      <c r="E126" s="119">
        <v>1</v>
      </c>
      <c r="F126" s="106" t="s">
        <v>97</v>
      </c>
      <c r="G126" s="108">
        <v>300000</v>
      </c>
      <c r="H126" s="109"/>
      <c r="I126" s="13" t="e">
        <f>+G126-#REF!</f>
        <v>#REF!</v>
      </c>
      <c r="J126" s="109"/>
      <c r="K126" s="109">
        <v>60000</v>
      </c>
      <c r="L126" s="109"/>
      <c r="M126" s="109"/>
      <c r="N126" s="103">
        <f>+H126+J126+K126+L126+M126</f>
        <v>60000</v>
      </c>
      <c r="O126" s="208">
        <f>+G126-N126</f>
        <v>240000</v>
      </c>
    </row>
    <row r="127" spans="1:15" ht="15.75" x14ac:dyDescent="0.25">
      <c r="A127" s="85"/>
      <c r="B127" s="85"/>
      <c r="C127" s="92"/>
      <c r="D127" s="85"/>
      <c r="E127" s="85"/>
      <c r="F127" s="106"/>
      <c r="G127" s="108"/>
      <c r="H127" s="110"/>
      <c r="I127" s="12"/>
      <c r="J127" s="110"/>
      <c r="K127" s="110"/>
      <c r="L127" s="110"/>
      <c r="M127" s="110"/>
      <c r="N127" s="110"/>
      <c r="O127" s="207"/>
    </row>
    <row r="128" spans="1:15" ht="16.5" thickBot="1" x14ac:dyDescent="0.3">
      <c r="A128" s="85">
        <v>2</v>
      </c>
      <c r="B128" s="85">
        <v>3</v>
      </c>
      <c r="C128" s="92">
        <v>9</v>
      </c>
      <c r="D128" s="85"/>
      <c r="E128" s="93"/>
      <c r="F128" s="104" t="s">
        <v>98</v>
      </c>
      <c r="G128" s="129">
        <f t="shared" ref="G128:N128" si="30">SUM(G129:G133)</f>
        <v>327804</v>
      </c>
      <c r="H128" s="129">
        <f t="shared" si="30"/>
        <v>85512.01</v>
      </c>
      <c r="I128" s="129" t="e">
        <f t="shared" si="30"/>
        <v>#REF!</v>
      </c>
      <c r="J128" s="180">
        <f t="shared" si="30"/>
        <v>77078.3</v>
      </c>
      <c r="K128" s="180">
        <f t="shared" si="30"/>
        <v>480</v>
      </c>
      <c r="L128" s="180">
        <f t="shared" si="30"/>
        <v>116541.09999999999</v>
      </c>
      <c r="M128" s="180">
        <f t="shared" si="30"/>
        <v>91216.950000000012</v>
      </c>
      <c r="N128" s="180">
        <f t="shared" si="30"/>
        <v>370828.36</v>
      </c>
      <c r="O128" s="206">
        <f>O129+O130+O131+O132+O133+O134</f>
        <v>-43024.360000000015</v>
      </c>
    </row>
    <row r="129" spans="1:15" ht="15.75" x14ac:dyDescent="0.25">
      <c r="A129" s="85">
        <v>2</v>
      </c>
      <c r="B129" s="85">
        <v>3</v>
      </c>
      <c r="C129" s="92">
        <v>9</v>
      </c>
      <c r="D129" s="85">
        <v>1</v>
      </c>
      <c r="E129" s="85"/>
      <c r="F129" s="106" t="s">
        <v>99</v>
      </c>
      <c r="G129" s="107">
        <v>8000</v>
      </c>
      <c r="H129" s="110"/>
      <c r="I129" s="12" t="e">
        <f>+G129-#REF!</f>
        <v>#REF!</v>
      </c>
      <c r="J129" s="110">
        <v>50</v>
      </c>
      <c r="K129" s="110"/>
      <c r="L129" s="110">
        <v>120</v>
      </c>
      <c r="M129" s="110"/>
      <c r="N129" s="103">
        <f t="shared" ref="N129:N134" si="31">+H129+J129+K129+L129+M129</f>
        <v>170</v>
      </c>
      <c r="O129" s="207">
        <f>+G129-N129</f>
        <v>7830</v>
      </c>
    </row>
    <row r="130" spans="1:15" ht="31.5" x14ac:dyDescent="0.25">
      <c r="A130" s="85">
        <v>2</v>
      </c>
      <c r="B130" s="85">
        <v>3</v>
      </c>
      <c r="C130" s="92">
        <v>9</v>
      </c>
      <c r="D130" s="85">
        <v>2</v>
      </c>
      <c r="E130" s="85"/>
      <c r="F130" s="106" t="s">
        <v>100</v>
      </c>
      <c r="G130" s="108">
        <v>195000</v>
      </c>
      <c r="H130" s="110">
        <v>79914.009999999995</v>
      </c>
      <c r="I130" s="12" t="e">
        <f>+G130-#REF!</f>
        <v>#REF!</v>
      </c>
      <c r="J130" s="110">
        <f>22495.78+8966.17+9109.6</f>
        <v>40571.549999999996</v>
      </c>
      <c r="K130" s="110"/>
      <c r="L130" s="110">
        <v>110424.4</v>
      </c>
      <c r="M130" s="110">
        <f>19857.64+41206.78+450</f>
        <v>61514.42</v>
      </c>
      <c r="N130" s="103">
        <f t="shared" si="31"/>
        <v>292424.38</v>
      </c>
      <c r="O130" s="207">
        <f>+G130-N130</f>
        <v>-97424.38</v>
      </c>
    </row>
    <row r="131" spans="1:15" ht="15.75" x14ac:dyDescent="0.25">
      <c r="A131" s="85">
        <v>2</v>
      </c>
      <c r="B131" s="119">
        <v>3</v>
      </c>
      <c r="C131" s="119">
        <v>9</v>
      </c>
      <c r="D131" s="85">
        <v>5</v>
      </c>
      <c r="E131" s="85"/>
      <c r="F131" s="135" t="s">
        <v>101</v>
      </c>
      <c r="G131" s="108">
        <v>10000</v>
      </c>
      <c r="H131" s="110"/>
      <c r="I131" s="12" t="e">
        <f>+G131-#REF!</f>
        <v>#REF!</v>
      </c>
      <c r="J131" s="110">
        <f>258.9+29108.9</f>
        <v>29367.800000000003</v>
      </c>
      <c r="K131" s="110"/>
      <c r="L131" s="110"/>
      <c r="M131" s="110">
        <v>29213.68</v>
      </c>
      <c r="N131" s="103">
        <f t="shared" si="31"/>
        <v>58581.48</v>
      </c>
      <c r="O131" s="207">
        <f>+G131-N131</f>
        <v>-48581.48</v>
      </c>
    </row>
    <row r="132" spans="1:15" ht="15.75" x14ac:dyDescent="0.25">
      <c r="A132" s="85">
        <v>2</v>
      </c>
      <c r="B132" s="85">
        <v>3</v>
      </c>
      <c r="C132" s="92">
        <v>9</v>
      </c>
      <c r="D132" s="85">
        <v>8</v>
      </c>
      <c r="E132" s="85"/>
      <c r="F132" s="132" t="s">
        <v>102</v>
      </c>
      <c r="G132" s="108">
        <v>20000</v>
      </c>
      <c r="H132" s="110">
        <v>2600</v>
      </c>
      <c r="I132" s="12" t="e">
        <f>+G132-#REF!</f>
        <v>#REF!</v>
      </c>
      <c r="J132" s="110"/>
      <c r="K132" s="110"/>
      <c r="L132" s="110"/>
      <c r="M132" s="110"/>
      <c r="N132" s="103">
        <f t="shared" si="31"/>
        <v>2600</v>
      </c>
      <c r="O132" s="207">
        <f>+G132-N132</f>
        <v>17400</v>
      </c>
    </row>
    <row r="133" spans="1:15" ht="15.75" x14ac:dyDescent="0.25">
      <c r="A133" s="85">
        <v>2</v>
      </c>
      <c r="B133" s="85">
        <v>3</v>
      </c>
      <c r="C133" s="92">
        <v>9</v>
      </c>
      <c r="D133" s="85">
        <v>9</v>
      </c>
      <c r="E133" s="85"/>
      <c r="F133" s="132" t="s">
        <v>103</v>
      </c>
      <c r="G133" s="108">
        <v>94804</v>
      </c>
      <c r="H133" s="110">
        <f>100+100+100+100+100+195+1200+1103</f>
        <v>2998</v>
      </c>
      <c r="I133" s="12" t="e">
        <f>+G133-#REF!</f>
        <v>#REF!</v>
      </c>
      <c r="J133" s="110">
        <f>6830+258.95</f>
        <v>7088.95</v>
      </c>
      <c r="K133" s="110">
        <v>480</v>
      </c>
      <c r="L133" s="110">
        <f>3957+517.9+560+143.95+817.85</f>
        <v>5996.7</v>
      </c>
      <c r="M133" s="110">
        <f>488.85</f>
        <v>488.85</v>
      </c>
      <c r="N133" s="103">
        <f t="shared" si="31"/>
        <v>17052.5</v>
      </c>
      <c r="O133" s="207">
        <f>+G133-N133</f>
        <v>77751.5</v>
      </c>
    </row>
    <row r="134" spans="1:15" ht="15.75" x14ac:dyDescent="0.25">
      <c r="A134" s="85">
        <v>2</v>
      </c>
      <c r="B134" s="85">
        <v>3</v>
      </c>
      <c r="C134" s="92">
        <v>9</v>
      </c>
      <c r="D134" s="85">
        <v>9</v>
      </c>
      <c r="E134" s="85">
        <v>2</v>
      </c>
      <c r="F134" s="132" t="s">
        <v>104</v>
      </c>
      <c r="G134" s="108"/>
      <c r="H134" s="110">
        <v>0</v>
      </c>
      <c r="I134" s="12">
        <v>0</v>
      </c>
      <c r="J134" s="110">
        <v>0</v>
      </c>
      <c r="K134" s="110"/>
      <c r="L134" s="110"/>
      <c r="M134" s="110"/>
      <c r="N134" s="103">
        <f t="shared" si="31"/>
        <v>0</v>
      </c>
      <c r="O134" s="207">
        <v>0</v>
      </c>
    </row>
    <row r="135" spans="1:15" ht="15.75" x14ac:dyDescent="0.25">
      <c r="A135" s="85"/>
      <c r="B135" s="85"/>
      <c r="C135" s="92"/>
      <c r="D135" s="85"/>
      <c r="E135" s="85"/>
      <c r="F135" s="106"/>
      <c r="G135" s="108"/>
      <c r="H135" s="110"/>
      <c r="I135" s="12"/>
      <c r="J135" s="110"/>
      <c r="K135" s="110"/>
      <c r="L135" s="110"/>
      <c r="M135" s="110"/>
      <c r="N135" s="110"/>
      <c r="O135" s="207"/>
    </row>
    <row r="136" spans="1:15" ht="32.25" thickBot="1" x14ac:dyDescent="0.3">
      <c r="A136" s="85">
        <v>2</v>
      </c>
      <c r="B136" s="85">
        <v>6</v>
      </c>
      <c r="C136" s="92"/>
      <c r="D136" s="85"/>
      <c r="E136" s="93"/>
      <c r="F136" s="104" t="s">
        <v>105</v>
      </c>
      <c r="G136" s="96">
        <f>G137+G145+G149</f>
        <v>0</v>
      </c>
      <c r="H136" s="96">
        <f t="shared" ref="H136:N136" si="32">H137+H145+H149</f>
        <v>0</v>
      </c>
      <c r="I136" s="6" t="e">
        <f>I137+I145+I149+I138</f>
        <v>#REF!</v>
      </c>
      <c r="J136" s="96">
        <f t="shared" si="32"/>
        <v>0</v>
      </c>
      <c r="K136" s="96">
        <f t="shared" si="32"/>
        <v>0</v>
      </c>
      <c r="L136" s="96">
        <f t="shared" si="32"/>
        <v>10815.64</v>
      </c>
      <c r="M136" s="96">
        <f t="shared" si="32"/>
        <v>0</v>
      </c>
      <c r="N136" s="96">
        <f t="shared" si="32"/>
        <v>10815.64</v>
      </c>
      <c r="O136" s="202">
        <f>O137+O145+O149+O138</f>
        <v>-10815.64</v>
      </c>
    </row>
    <row r="137" spans="1:15" ht="16.5" thickBot="1" x14ac:dyDescent="0.3">
      <c r="A137" s="85">
        <v>2</v>
      </c>
      <c r="B137" s="85">
        <v>6</v>
      </c>
      <c r="C137" s="92">
        <v>1</v>
      </c>
      <c r="D137" s="85"/>
      <c r="E137" s="119"/>
      <c r="F137" s="128" t="s">
        <v>106</v>
      </c>
      <c r="G137" s="97">
        <f>G139+G140+G141+G143+G144</f>
        <v>0</v>
      </c>
      <c r="H137" s="169">
        <f t="shared" ref="H137:N137" si="33">+H138+H139+H140+H141+H142+H143</f>
        <v>0</v>
      </c>
      <c r="I137" s="7">
        <f>I139+I140+I141+I143+I144</f>
        <v>0</v>
      </c>
      <c r="J137" s="169">
        <f t="shared" si="33"/>
        <v>0</v>
      </c>
      <c r="K137" s="169">
        <f t="shared" si="33"/>
        <v>0</v>
      </c>
      <c r="L137" s="169">
        <f t="shared" si="33"/>
        <v>10815.64</v>
      </c>
      <c r="M137" s="169">
        <f t="shared" si="33"/>
        <v>0</v>
      </c>
      <c r="N137" s="197">
        <f t="shared" si="33"/>
        <v>10815.64</v>
      </c>
      <c r="O137" s="217">
        <f>O139+O140+O141+O143+O144</f>
        <v>-10815.64</v>
      </c>
    </row>
    <row r="138" spans="1:15" ht="16.5" thickBot="1" x14ac:dyDescent="0.3">
      <c r="A138" s="85">
        <v>2</v>
      </c>
      <c r="B138" s="85">
        <v>6</v>
      </c>
      <c r="C138" s="92">
        <v>8</v>
      </c>
      <c r="D138" s="85">
        <v>8</v>
      </c>
      <c r="E138" s="119"/>
      <c r="F138" s="136" t="s">
        <v>107</v>
      </c>
      <c r="G138" s="108">
        <f>G140+G141+G142+G144+G145</f>
        <v>0</v>
      </c>
      <c r="H138" s="124">
        <f>H140+H141+H142+H144+H145</f>
        <v>0</v>
      </c>
      <c r="I138" s="7" t="e">
        <f>+G138-#REF!</f>
        <v>#REF!</v>
      </c>
      <c r="J138" s="124">
        <f>J140+J141+J142+J144+J145</f>
        <v>0</v>
      </c>
      <c r="K138" s="124">
        <f>K140+K141+K142+K144+K145</f>
        <v>0</v>
      </c>
      <c r="L138" s="124"/>
      <c r="M138" s="124"/>
      <c r="N138" s="196">
        <f t="shared" ref="N138:N143" si="34">+H138+J138+K138+L138+M138</f>
        <v>0</v>
      </c>
      <c r="O138" s="108">
        <f>+G138-N138</f>
        <v>0</v>
      </c>
    </row>
    <row r="139" spans="1:15" ht="31.5" x14ac:dyDescent="0.25">
      <c r="A139" s="85">
        <v>2</v>
      </c>
      <c r="B139" s="85">
        <v>6</v>
      </c>
      <c r="C139" s="92">
        <v>1</v>
      </c>
      <c r="D139" s="85">
        <v>1</v>
      </c>
      <c r="E139" s="119"/>
      <c r="F139" s="127" t="s">
        <v>108</v>
      </c>
      <c r="G139" s="108"/>
      <c r="H139" s="110"/>
      <c r="I139" s="13"/>
      <c r="J139" s="110"/>
      <c r="K139" s="110"/>
      <c r="L139" s="110">
        <v>10815.64</v>
      </c>
      <c r="M139" s="110"/>
      <c r="N139" s="196">
        <f t="shared" si="34"/>
        <v>10815.64</v>
      </c>
      <c r="O139" s="110">
        <f>+G139-N139</f>
        <v>-10815.64</v>
      </c>
    </row>
    <row r="140" spans="1:15" ht="15.75" x14ac:dyDescent="0.25">
      <c r="A140" s="85">
        <v>2</v>
      </c>
      <c r="B140" s="85">
        <v>6</v>
      </c>
      <c r="C140" s="92">
        <v>1</v>
      </c>
      <c r="D140" s="85">
        <v>4</v>
      </c>
      <c r="E140" s="119"/>
      <c r="F140" s="127" t="s">
        <v>109</v>
      </c>
      <c r="G140" s="108"/>
      <c r="H140" s="110"/>
      <c r="I140" s="12"/>
      <c r="J140" s="110"/>
      <c r="K140" s="110"/>
      <c r="L140" s="110"/>
      <c r="M140" s="110"/>
      <c r="N140" s="196">
        <f t="shared" si="34"/>
        <v>0</v>
      </c>
      <c r="O140" s="110"/>
    </row>
    <row r="141" spans="1:15" ht="15.75" x14ac:dyDescent="0.25">
      <c r="A141" s="85">
        <v>2</v>
      </c>
      <c r="B141" s="85">
        <v>6</v>
      </c>
      <c r="C141" s="92">
        <v>1</v>
      </c>
      <c r="D141" s="85">
        <v>7</v>
      </c>
      <c r="E141" s="119"/>
      <c r="F141" s="127" t="s">
        <v>110</v>
      </c>
      <c r="G141" s="108"/>
      <c r="H141" s="110">
        <v>0</v>
      </c>
      <c r="I141" s="12">
        <v>0</v>
      </c>
      <c r="J141" s="110">
        <v>0</v>
      </c>
      <c r="K141" s="110"/>
      <c r="L141" s="110"/>
      <c r="M141" s="110"/>
      <c r="N141" s="196">
        <f t="shared" si="34"/>
        <v>0</v>
      </c>
      <c r="O141" s="110">
        <v>0</v>
      </c>
    </row>
    <row r="142" spans="1:15" ht="15.75" x14ac:dyDescent="0.25">
      <c r="A142" s="85">
        <v>2</v>
      </c>
      <c r="B142" s="85">
        <v>6</v>
      </c>
      <c r="C142" s="92">
        <v>1</v>
      </c>
      <c r="D142" s="85">
        <v>8</v>
      </c>
      <c r="E142" s="119"/>
      <c r="F142" s="127" t="s">
        <v>111</v>
      </c>
      <c r="G142" s="108"/>
      <c r="H142" s="110"/>
      <c r="I142" s="12"/>
      <c r="J142" s="110"/>
      <c r="K142" s="110"/>
      <c r="L142" s="110"/>
      <c r="M142" s="110"/>
      <c r="N142" s="196">
        <f t="shared" si="34"/>
        <v>0</v>
      </c>
      <c r="O142" s="110"/>
    </row>
    <row r="143" spans="1:15" ht="31.5" x14ac:dyDescent="0.25">
      <c r="A143" s="85">
        <v>2</v>
      </c>
      <c r="B143" s="85">
        <v>6</v>
      </c>
      <c r="C143" s="92">
        <v>1</v>
      </c>
      <c r="D143" s="85">
        <v>9</v>
      </c>
      <c r="E143" s="119"/>
      <c r="F143" s="127" t="s">
        <v>112</v>
      </c>
      <c r="G143" s="108"/>
      <c r="H143" s="110"/>
      <c r="I143" s="12"/>
      <c r="J143" s="110"/>
      <c r="K143" s="110"/>
      <c r="L143" s="110"/>
      <c r="M143" s="110"/>
      <c r="N143" s="196">
        <f t="shared" si="34"/>
        <v>0</v>
      </c>
      <c r="O143" s="110"/>
    </row>
    <row r="144" spans="1:15" ht="15.75" x14ac:dyDescent="0.25">
      <c r="A144" s="85"/>
      <c r="B144" s="85"/>
      <c r="C144" s="92"/>
      <c r="D144" s="85"/>
      <c r="E144" s="93"/>
      <c r="F144" s="128"/>
      <c r="G144" s="125"/>
      <c r="H144" s="96"/>
      <c r="I144" s="6">
        <f>+G144</f>
        <v>0</v>
      </c>
      <c r="J144" s="96"/>
      <c r="K144" s="96"/>
      <c r="L144" s="96"/>
      <c r="M144" s="96"/>
      <c r="N144" s="184"/>
      <c r="O144" s="96"/>
    </row>
    <row r="145" spans="1:32" ht="32.25" thickBot="1" x14ac:dyDescent="0.3">
      <c r="A145" s="85">
        <v>2</v>
      </c>
      <c r="B145" s="85">
        <v>6</v>
      </c>
      <c r="C145" s="92">
        <v>2</v>
      </c>
      <c r="D145" s="85"/>
      <c r="E145" s="93"/>
      <c r="F145" s="128" t="s">
        <v>113</v>
      </c>
      <c r="G145" s="95">
        <f t="shared" ref="G145:O145" si="35">G146+G147</f>
        <v>0</v>
      </c>
      <c r="H145" s="117">
        <f t="shared" si="35"/>
        <v>0</v>
      </c>
      <c r="I145" s="19" t="e">
        <f t="shared" si="35"/>
        <v>#REF!</v>
      </c>
      <c r="J145" s="117">
        <f t="shared" si="35"/>
        <v>0</v>
      </c>
      <c r="K145" s="117">
        <f t="shared" si="35"/>
        <v>0</v>
      </c>
      <c r="L145" s="117">
        <f t="shared" si="35"/>
        <v>0</v>
      </c>
      <c r="M145" s="117">
        <f t="shared" si="35"/>
        <v>0</v>
      </c>
      <c r="N145" s="183">
        <f t="shared" si="35"/>
        <v>0</v>
      </c>
      <c r="O145" s="117">
        <f t="shared" si="35"/>
        <v>0</v>
      </c>
    </row>
    <row r="146" spans="1:32" ht="15.75" x14ac:dyDescent="0.25">
      <c r="A146" s="85">
        <v>2</v>
      </c>
      <c r="B146" s="85">
        <v>6</v>
      </c>
      <c r="C146" s="92">
        <v>2</v>
      </c>
      <c r="D146" s="85">
        <v>1</v>
      </c>
      <c r="E146" s="119"/>
      <c r="F146" s="106" t="s">
        <v>114</v>
      </c>
      <c r="G146" s="108"/>
      <c r="H146" s="110">
        <v>0</v>
      </c>
      <c r="I146" s="12">
        <v>0</v>
      </c>
      <c r="J146" s="110">
        <v>0</v>
      </c>
      <c r="K146" s="110"/>
      <c r="L146" s="110"/>
      <c r="M146" s="183"/>
      <c r="N146" s="182">
        <f>+H146+J146+K146+L146+M146</f>
        <v>0</v>
      </c>
      <c r="O146" s="207">
        <v>0</v>
      </c>
    </row>
    <row r="147" spans="1:32" ht="15.75" x14ac:dyDescent="0.25">
      <c r="A147" s="85">
        <v>2</v>
      </c>
      <c r="B147" s="85">
        <v>6</v>
      </c>
      <c r="C147" s="92">
        <v>2</v>
      </c>
      <c r="D147" s="85">
        <v>3</v>
      </c>
      <c r="E147" s="119"/>
      <c r="F147" s="106" t="s">
        <v>115</v>
      </c>
      <c r="G147" s="108"/>
      <c r="H147" s="110">
        <f>G147*12</f>
        <v>0</v>
      </c>
      <c r="I147" s="12" t="e">
        <f>+G147-#REF!</f>
        <v>#REF!</v>
      </c>
      <c r="J147" s="110"/>
      <c r="K147" s="110"/>
      <c r="L147" s="110"/>
      <c r="M147" s="183"/>
      <c r="N147" s="103">
        <f>+H147+J147+K147+L147+M147</f>
        <v>0</v>
      </c>
      <c r="O147" s="207"/>
    </row>
    <row r="148" spans="1:32" ht="15.75" x14ac:dyDescent="0.25">
      <c r="A148" s="85"/>
      <c r="B148" s="85"/>
      <c r="C148" s="92"/>
      <c r="D148" s="85"/>
      <c r="E148" s="93"/>
      <c r="F148" s="104"/>
      <c r="G148" s="125"/>
      <c r="H148" s="96"/>
      <c r="I148" s="6"/>
      <c r="J148" s="96"/>
      <c r="K148" s="96"/>
      <c r="L148" s="96"/>
      <c r="M148" s="184"/>
      <c r="N148" s="96"/>
      <c r="O148" s="202"/>
    </row>
    <row r="149" spans="1:32" ht="32.25" thickBot="1" x14ac:dyDescent="0.3">
      <c r="A149" s="85">
        <v>2</v>
      </c>
      <c r="B149" s="85">
        <v>6</v>
      </c>
      <c r="C149" s="92">
        <v>4</v>
      </c>
      <c r="D149" s="85"/>
      <c r="E149" s="93"/>
      <c r="F149" s="104" t="s">
        <v>116</v>
      </c>
      <c r="G149" s="125">
        <f>G151+G152+G150</f>
        <v>0</v>
      </c>
      <c r="H149" s="110">
        <f t="shared" ref="H149:O149" si="36">H150+H151</f>
        <v>0</v>
      </c>
      <c r="I149" s="12">
        <f t="shared" si="36"/>
        <v>0</v>
      </c>
      <c r="J149" s="110">
        <f t="shared" si="36"/>
        <v>0</v>
      </c>
      <c r="K149" s="110">
        <f t="shared" si="36"/>
        <v>0</v>
      </c>
      <c r="L149" s="110">
        <f t="shared" si="36"/>
        <v>0</v>
      </c>
      <c r="M149" s="183">
        <f t="shared" si="36"/>
        <v>0</v>
      </c>
      <c r="N149" s="117">
        <f t="shared" si="36"/>
        <v>0</v>
      </c>
      <c r="O149" s="207">
        <f t="shared" si="36"/>
        <v>0</v>
      </c>
    </row>
    <row r="150" spans="1:32" ht="31.5" x14ac:dyDescent="0.25">
      <c r="A150" s="85">
        <v>2</v>
      </c>
      <c r="B150" s="85">
        <v>6</v>
      </c>
      <c r="C150" s="92">
        <v>4</v>
      </c>
      <c r="D150" s="85"/>
      <c r="E150" s="93"/>
      <c r="F150" s="127" t="s">
        <v>116</v>
      </c>
      <c r="G150" s="100"/>
      <c r="H150" s="109">
        <v>0</v>
      </c>
      <c r="I150" s="13">
        <v>0</v>
      </c>
      <c r="J150" s="109">
        <v>0</v>
      </c>
      <c r="K150" s="109"/>
      <c r="L150" s="109"/>
      <c r="M150" s="109"/>
      <c r="N150" s="103">
        <f>+H150+J150+K150+L150+M150</f>
        <v>0</v>
      </c>
      <c r="O150" s="208">
        <v>0</v>
      </c>
    </row>
    <row r="151" spans="1:32" ht="15.75" x14ac:dyDescent="0.25">
      <c r="A151" s="85">
        <v>2</v>
      </c>
      <c r="B151" s="85">
        <v>6</v>
      </c>
      <c r="C151" s="92">
        <v>4</v>
      </c>
      <c r="D151" s="85">
        <v>1</v>
      </c>
      <c r="E151" s="85"/>
      <c r="F151" s="127" t="s">
        <v>117</v>
      </c>
      <c r="G151" s="108"/>
      <c r="H151" s="110">
        <v>0</v>
      </c>
      <c r="I151" s="12">
        <v>0</v>
      </c>
      <c r="J151" s="110">
        <v>0</v>
      </c>
      <c r="K151" s="110"/>
      <c r="L151" s="110"/>
      <c r="M151" s="110"/>
      <c r="N151" s="103">
        <f>+H151+J151+K151+L151+M151</f>
        <v>0</v>
      </c>
      <c r="O151" s="207">
        <v>0</v>
      </c>
    </row>
    <row r="152" spans="1:32" ht="15.75" x14ac:dyDescent="0.25">
      <c r="A152" s="85">
        <v>2</v>
      </c>
      <c r="B152" s="85">
        <v>6</v>
      </c>
      <c r="C152" s="92">
        <v>4</v>
      </c>
      <c r="D152" s="85">
        <v>7</v>
      </c>
      <c r="E152" s="85"/>
      <c r="F152" s="127" t="s">
        <v>118</v>
      </c>
      <c r="G152" s="108">
        <v>0</v>
      </c>
      <c r="H152" s="110">
        <v>0</v>
      </c>
      <c r="I152" s="12">
        <v>0</v>
      </c>
      <c r="J152" s="110">
        <v>0</v>
      </c>
      <c r="K152" s="110"/>
      <c r="L152" s="110"/>
      <c r="M152" s="110"/>
      <c r="N152" s="103">
        <f>+H152+J152+K152+L152+M152</f>
        <v>0</v>
      </c>
      <c r="O152" s="207">
        <v>0</v>
      </c>
    </row>
    <row r="153" spans="1:32" ht="16.5" thickBot="1" x14ac:dyDescent="0.3">
      <c r="A153" s="85"/>
      <c r="B153" s="85"/>
      <c r="C153" s="92"/>
      <c r="D153" s="84"/>
      <c r="E153" s="85"/>
      <c r="F153" s="127"/>
      <c r="G153" s="111"/>
      <c r="H153" s="117"/>
      <c r="I153" s="12"/>
      <c r="J153" s="117"/>
      <c r="K153" s="117"/>
      <c r="L153" s="117"/>
      <c r="M153" s="117"/>
      <c r="N153" s="117"/>
      <c r="O153" s="207"/>
    </row>
    <row r="154" spans="1:32" ht="18" thickBot="1" x14ac:dyDescent="0.35">
      <c r="A154" s="137"/>
      <c r="B154" s="137"/>
      <c r="C154" s="138"/>
      <c r="D154" s="139"/>
      <c r="E154" s="139"/>
      <c r="F154" s="140" t="s">
        <v>119</v>
      </c>
      <c r="G154" s="95">
        <f>G110+G48+G12</f>
        <v>42039167</v>
      </c>
      <c r="H154" s="165">
        <f>H110+H48+H12</f>
        <v>3087103.98</v>
      </c>
      <c r="I154" s="165" t="e">
        <f t="shared" ref="I154:N154" si="37">I110+I48+I12</f>
        <v>#REF!</v>
      </c>
      <c r="J154" s="165">
        <f t="shared" si="37"/>
        <v>3272561.4400000004</v>
      </c>
      <c r="K154" s="165">
        <f>K110+K48+K12</f>
        <v>3296314.58</v>
      </c>
      <c r="L154" s="165">
        <f>L110+L48+L12</f>
        <v>3958386.4610000001</v>
      </c>
      <c r="M154" s="165">
        <f>M110+M48+M12</f>
        <v>3698270.74</v>
      </c>
      <c r="N154" s="222">
        <f t="shared" si="37"/>
        <v>17312637.201000001</v>
      </c>
      <c r="O154" s="223">
        <f>O110+O48+O12</f>
        <v>24726530.798999999</v>
      </c>
      <c r="S154" s="23"/>
      <c r="X154" s="264"/>
      <c r="Y154" s="264"/>
      <c r="AA154" s="264"/>
      <c r="AB154" s="264"/>
    </row>
    <row r="155" spans="1:32" ht="17.25" x14ac:dyDescent="0.3">
      <c r="A155" s="141"/>
      <c r="B155" s="141"/>
      <c r="C155" s="66"/>
      <c r="D155" s="66"/>
      <c r="E155" s="66"/>
      <c r="F155" s="66"/>
      <c r="G155" s="142"/>
      <c r="H155" s="143"/>
      <c r="I155" s="1"/>
      <c r="J155" s="23"/>
      <c r="K155" s="23"/>
      <c r="L155" s="23"/>
      <c r="M155" s="23"/>
      <c r="N155" s="23"/>
      <c r="O155" s="162"/>
      <c r="P155" s="194"/>
      <c r="Q155" s="194"/>
      <c r="R155" s="11"/>
      <c r="X155" s="263"/>
      <c r="Y155" s="263"/>
      <c r="AA155" s="263"/>
      <c r="AB155" s="263"/>
      <c r="AD155" s="11"/>
    </row>
    <row r="156" spans="1:32" ht="18.75" x14ac:dyDescent="0.3">
      <c r="A156" s="141"/>
      <c r="B156" s="141"/>
      <c r="C156" s="66"/>
      <c r="D156" s="66"/>
      <c r="E156" s="147"/>
      <c r="F156" s="148"/>
      <c r="G156" s="142"/>
      <c r="H156" s="146"/>
      <c r="I156" s="31"/>
      <c r="J156" s="23"/>
      <c r="K156" s="23"/>
      <c r="L156" s="23"/>
      <c r="M156" s="23"/>
      <c r="N156" s="23"/>
      <c r="O156" s="173"/>
      <c r="P156" s="195"/>
      <c r="Q156" s="195"/>
      <c r="S156" s="23"/>
    </row>
    <row r="157" spans="1:32" ht="18" customHeight="1" thickBot="1" x14ac:dyDescent="0.3">
      <c r="A157" s="141"/>
      <c r="B157" s="141"/>
      <c r="C157" s="66"/>
      <c r="D157" s="66"/>
      <c r="E157" s="64"/>
      <c r="F157" s="148"/>
      <c r="G157" s="149"/>
      <c r="H157" s="150"/>
      <c r="I157" s="33"/>
      <c r="J157" s="34"/>
      <c r="K157" s="34"/>
      <c r="L157" s="34"/>
      <c r="M157" s="34"/>
      <c r="N157" s="34"/>
      <c r="O157" s="187"/>
      <c r="P157" s="11"/>
      <c r="Q157" s="11"/>
    </row>
    <row r="158" spans="1:32" ht="18.75" x14ac:dyDescent="0.3">
      <c r="A158" s="64"/>
      <c r="B158" s="64"/>
      <c r="C158" s="64"/>
      <c r="D158" s="64"/>
      <c r="E158" s="64"/>
      <c r="F158" s="152" t="s">
        <v>120</v>
      </c>
      <c r="G158" s="151"/>
      <c r="H158" s="151"/>
      <c r="I158" s="35"/>
      <c r="J158" s="37"/>
      <c r="K158" s="37"/>
      <c r="L158" s="37"/>
      <c r="M158" s="37"/>
      <c r="N158" s="37"/>
      <c r="O158" s="188"/>
      <c r="P158" s="11"/>
      <c r="Y158" s="17"/>
      <c r="Z158" s="17"/>
      <c r="AA158" s="36"/>
      <c r="AC158" s="38"/>
      <c r="AD158" s="11"/>
    </row>
    <row r="159" spans="1:32" ht="18.75" customHeight="1" x14ac:dyDescent="0.3">
      <c r="A159" s="64"/>
      <c r="B159" s="64"/>
      <c r="C159" s="64"/>
      <c r="D159" s="64"/>
      <c r="E159" s="64"/>
      <c r="F159" s="148" t="s">
        <v>121</v>
      </c>
      <c r="G159" s="151"/>
      <c r="H159" s="151"/>
      <c r="I159" s="32"/>
      <c r="J159" s="39"/>
      <c r="K159" s="39"/>
      <c r="L159" s="39"/>
      <c r="M159" s="39"/>
      <c r="N159" s="39"/>
      <c r="O159" s="189"/>
      <c r="P159" s="36"/>
      <c r="R159" s="23"/>
      <c r="S159" s="36"/>
      <c r="T159" s="40"/>
      <c r="V159" s="38"/>
      <c r="W159" s="18"/>
      <c r="X159" s="36"/>
      <c r="Y159" s="38"/>
      <c r="AE159" s="11"/>
    </row>
    <row r="160" spans="1:32" ht="18.75" customHeight="1" x14ac:dyDescent="0.3">
      <c r="A160" s="64"/>
      <c r="B160" s="64"/>
      <c r="C160" s="64"/>
      <c r="D160" s="64"/>
      <c r="E160" s="64"/>
      <c r="F160" s="148"/>
      <c r="G160" s="153"/>
      <c r="H160" s="151"/>
      <c r="I160" s="32"/>
      <c r="J160" s="39"/>
      <c r="K160" s="39"/>
      <c r="L160" s="39"/>
      <c r="M160" s="39"/>
      <c r="N160" s="39"/>
      <c r="O160" s="190"/>
      <c r="P160" s="40"/>
      <c r="Q160" s="11"/>
      <c r="S160" s="11"/>
      <c r="T160" s="11"/>
      <c r="V160" s="1"/>
      <c r="Z160" s="11"/>
      <c r="AA160" s="41"/>
      <c r="AE160" s="11"/>
      <c r="AF160" s="11"/>
    </row>
    <row r="161" spans="1:34" ht="18.75" x14ac:dyDescent="0.3">
      <c r="A161" s="64"/>
      <c r="B161" s="64"/>
      <c r="C161" s="64"/>
      <c r="D161" s="64"/>
      <c r="E161" s="64"/>
      <c r="F161" s="148"/>
      <c r="G161" s="153"/>
      <c r="H161" s="151"/>
      <c r="I161" s="32"/>
      <c r="J161" s="39"/>
      <c r="K161" s="39"/>
      <c r="L161" s="39"/>
      <c r="M161" s="39"/>
      <c r="N161" s="39"/>
      <c r="O161" s="190"/>
      <c r="S161" s="11"/>
      <c r="T161" s="11"/>
      <c r="V161" s="1"/>
      <c r="Z161" s="11"/>
      <c r="AA161" s="41"/>
      <c r="AE161" s="11"/>
      <c r="AF161" s="11"/>
    </row>
    <row r="162" spans="1:34" ht="18.75" x14ac:dyDescent="0.3">
      <c r="A162" s="64"/>
      <c r="B162" s="64"/>
      <c r="C162" s="64"/>
      <c r="D162" s="64"/>
      <c r="E162" s="64"/>
      <c r="F162" s="148"/>
      <c r="G162" s="153"/>
      <c r="H162" s="151"/>
      <c r="I162" s="32"/>
      <c r="J162" s="39"/>
      <c r="K162" s="39"/>
      <c r="L162" s="39"/>
      <c r="M162" s="39"/>
      <c r="N162" s="39"/>
      <c r="O162" s="190"/>
      <c r="P162" s="11"/>
      <c r="Q162" s="11"/>
      <c r="S162" s="11"/>
      <c r="T162" s="11"/>
      <c r="V162" s="1"/>
      <c r="Z162" s="11"/>
      <c r="AA162" s="41"/>
      <c r="AE162" s="11"/>
      <c r="AF162" s="11"/>
    </row>
    <row r="163" spans="1:34" ht="18.75" customHeight="1" x14ac:dyDescent="0.3">
      <c r="A163" s="64"/>
      <c r="B163" s="64"/>
      <c r="C163" s="64"/>
      <c r="D163" s="64"/>
      <c r="E163" s="64"/>
      <c r="F163" s="148"/>
      <c r="G163" s="153"/>
      <c r="H163" s="151"/>
      <c r="I163" s="32"/>
      <c r="J163" s="39"/>
      <c r="K163" s="39"/>
      <c r="L163" s="39"/>
      <c r="M163" s="39"/>
      <c r="N163" s="39"/>
      <c r="O163" s="190"/>
      <c r="S163" s="11"/>
      <c r="T163" s="11"/>
      <c r="V163" s="1"/>
      <c r="Z163" s="11"/>
      <c r="AA163" s="41"/>
      <c r="AE163" s="11"/>
      <c r="AF163" s="11"/>
    </row>
    <row r="164" spans="1:34" ht="30" customHeight="1" x14ac:dyDescent="0.3">
      <c r="A164" s="64"/>
      <c r="B164" s="64"/>
      <c r="C164" s="64"/>
      <c r="D164" s="64"/>
      <c r="E164" s="64"/>
      <c r="F164" s="148"/>
      <c r="G164" s="151"/>
      <c r="H164" s="151"/>
      <c r="I164" s="32"/>
      <c r="J164" s="39"/>
      <c r="K164" s="39"/>
      <c r="L164" s="39"/>
      <c r="M164" s="39"/>
      <c r="N164" s="39"/>
      <c r="O164" s="190"/>
      <c r="P164" s="41"/>
      <c r="S164" s="41"/>
      <c r="V164" s="1"/>
      <c r="X164" s="41"/>
      <c r="AA164" s="42"/>
      <c r="AC164" s="23"/>
      <c r="AD164" s="11"/>
      <c r="AE164" s="11"/>
      <c r="AF164" s="11"/>
    </row>
    <row r="165" spans="1:34" ht="18.75" customHeight="1" x14ac:dyDescent="0.3">
      <c r="A165" s="64"/>
      <c r="B165" s="64"/>
      <c r="C165" s="64"/>
      <c r="D165" s="64"/>
      <c r="E165" s="64"/>
      <c r="F165" s="148"/>
      <c r="G165" s="153"/>
      <c r="H165" s="23"/>
      <c r="I165" s="44"/>
      <c r="J165" s="161"/>
      <c r="K165" s="161"/>
      <c r="L165" s="161"/>
      <c r="M165" s="161"/>
      <c r="N165" s="161"/>
      <c r="O165" s="190"/>
      <c r="P165" s="42"/>
      <c r="R165" s="23"/>
      <c r="S165" s="42"/>
      <c r="T165" s="23"/>
      <c r="U165" s="23"/>
      <c r="V165" s="23"/>
      <c r="W165" s="23"/>
      <c r="X165" s="42"/>
      <c r="Y165" s="23"/>
      <c r="Z165" s="23"/>
      <c r="AA165" s="45"/>
      <c r="AC165" s="23"/>
      <c r="AF165" s="11"/>
    </row>
    <row r="166" spans="1:34" ht="19.5" thickBot="1" x14ac:dyDescent="0.35">
      <c r="A166" s="64"/>
      <c r="B166" s="64"/>
      <c r="C166" s="64"/>
      <c r="D166" s="64"/>
      <c r="E166" s="64"/>
      <c r="F166" s="156"/>
      <c r="G166" s="153"/>
      <c r="H166" s="23"/>
      <c r="I166" s="44"/>
      <c r="J166" s="161"/>
      <c r="K166" s="161"/>
      <c r="L166" s="161"/>
      <c r="M166" s="161"/>
      <c r="N166" s="161"/>
      <c r="O166" s="190"/>
      <c r="P166" s="42"/>
      <c r="R166" s="23"/>
      <c r="S166" s="42"/>
      <c r="T166" s="23"/>
      <c r="U166" s="23"/>
      <c r="V166" s="23"/>
      <c r="W166" s="23"/>
      <c r="X166" s="42"/>
      <c r="Y166" s="23"/>
      <c r="Z166" s="23"/>
      <c r="AA166" s="45"/>
      <c r="AC166" s="23"/>
      <c r="AF166" s="11"/>
    </row>
    <row r="167" spans="1:34" ht="18" customHeight="1" x14ac:dyDescent="0.25">
      <c r="A167" s="64"/>
      <c r="B167" s="64"/>
      <c r="C167" s="64"/>
      <c r="D167" s="64"/>
      <c r="E167" s="64"/>
      <c r="F167" s="148" t="s">
        <v>122</v>
      </c>
      <c r="G167" s="155"/>
      <c r="H167" s="23"/>
      <c r="I167" s="49"/>
      <c r="J167" s="11"/>
      <c r="K167" s="11"/>
      <c r="L167" s="11"/>
      <c r="M167" s="11"/>
      <c r="N167" s="11"/>
      <c r="O167" s="190"/>
      <c r="P167" s="186"/>
      <c r="R167" s="11"/>
      <c r="S167" s="42"/>
      <c r="T167" s="23"/>
      <c r="U167" s="23"/>
      <c r="V167" s="23"/>
      <c r="W167" s="23"/>
      <c r="X167" s="47"/>
      <c r="Y167" s="23"/>
      <c r="Z167" s="23"/>
      <c r="AA167" s="1"/>
      <c r="AC167" s="23"/>
      <c r="AH167" s="11"/>
    </row>
    <row r="168" spans="1:34" ht="18" x14ac:dyDescent="0.25">
      <c r="A168" s="64"/>
      <c r="B168" s="64"/>
      <c r="C168" s="64"/>
      <c r="D168" s="64"/>
      <c r="E168" s="64"/>
      <c r="F168" s="148"/>
      <c r="G168" s="155"/>
      <c r="H168" s="23"/>
      <c r="I168" s="49"/>
      <c r="J168" s="23"/>
      <c r="K168" s="23"/>
      <c r="L168" s="23"/>
      <c r="M168" s="23"/>
      <c r="N168" s="23"/>
      <c r="O168" s="189"/>
      <c r="P168" s="50"/>
      <c r="Q168" s="11"/>
      <c r="S168" s="11"/>
      <c r="T168" s="23"/>
      <c r="U168" s="23"/>
      <c r="V168" s="31"/>
      <c r="W168" s="23"/>
      <c r="Y168" s="23"/>
      <c r="Z168" s="23"/>
      <c r="AA168" s="1"/>
      <c r="AB168" s="11"/>
      <c r="AC168" s="23"/>
      <c r="AE168" s="11"/>
      <c r="AF168" s="11"/>
    </row>
    <row r="169" spans="1:34" ht="18" x14ac:dyDescent="0.25">
      <c r="A169" s="64"/>
      <c r="B169" s="64"/>
      <c r="C169" s="64"/>
      <c r="D169" s="64"/>
      <c r="E169" s="64"/>
      <c r="F169" s="148"/>
      <c r="G169" s="155"/>
      <c r="H169" s="23"/>
      <c r="I169" s="49"/>
      <c r="J169" s="23"/>
      <c r="K169" s="23"/>
      <c r="L169" s="23"/>
      <c r="M169" s="23"/>
      <c r="N169" s="23"/>
      <c r="O169" s="189"/>
      <c r="P169" s="50"/>
      <c r="Q169" s="11"/>
      <c r="S169" s="11"/>
      <c r="T169" s="23"/>
      <c r="U169" s="23"/>
      <c r="V169" s="31"/>
      <c r="W169" s="23"/>
      <c r="Y169" s="23"/>
      <c r="Z169" s="23"/>
      <c r="AA169" s="1"/>
      <c r="AB169" s="11"/>
      <c r="AC169" s="23"/>
      <c r="AE169" s="11"/>
      <c r="AF169" s="11"/>
    </row>
    <row r="170" spans="1:34" ht="15.75" x14ac:dyDescent="0.25">
      <c r="A170" s="64"/>
      <c r="B170" s="64"/>
      <c r="C170" s="64"/>
      <c r="D170" s="64"/>
      <c r="E170" s="64"/>
      <c r="F170" s="141"/>
      <c r="G170" s="155"/>
      <c r="H170" s="23"/>
      <c r="I170" s="49"/>
      <c r="J170" s="23"/>
      <c r="K170" s="23"/>
      <c r="L170" s="23"/>
      <c r="M170" s="23"/>
      <c r="N170" s="23"/>
      <c r="O170" s="189"/>
      <c r="P170" s="1"/>
      <c r="Q170" s="11"/>
      <c r="S170" s="18"/>
      <c r="T170" s="23"/>
      <c r="U170" s="23"/>
      <c r="V170" s="31"/>
      <c r="W170" s="23"/>
      <c r="Y170" s="23"/>
      <c r="Z170" s="23"/>
      <c r="AA170" s="11"/>
      <c r="AB170" s="11"/>
      <c r="AC170" s="23"/>
      <c r="AE170" s="11"/>
    </row>
    <row r="171" spans="1:34" ht="18" customHeight="1" x14ac:dyDescent="0.25">
      <c r="A171" s="64"/>
      <c r="B171" s="64"/>
      <c r="C171" s="64"/>
      <c r="D171" s="64"/>
      <c r="E171" s="64"/>
      <c r="F171" s="141"/>
      <c r="G171" s="157"/>
      <c r="H171" s="23"/>
      <c r="I171" s="48"/>
      <c r="J171" s="23"/>
      <c r="K171" s="23"/>
      <c r="L171" s="23"/>
      <c r="M171" s="23"/>
      <c r="N171" s="23"/>
      <c r="O171" s="191"/>
      <c r="P171" s="11"/>
      <c r="Q171" s="11"/>
      <c r="S171" s="11"/>
      <c r="T171" s="23"/>
      <c r="U171" s="23"/>
      <c r="V171" s="50"/>
      <c r="W171" s="23"/>
      <c r="X171" s="11"/>
      <c r="Y171" s="23"/>
      <c r="Z171" s="23"/>
      <c r="AA171" s="51"/>
      <c r="AC171" s="52"/>
      <c r="AG171" s="11"/>
    </row>
    <row r="172" spans="1:34" ht="18.75" thickBot="1" x14ac:dyDescent="0.3">
      <c r="A172" s="64"/>
      <c r="B172" s="64"/>
      <c r="C172" s="64"/>
      <c r="D172" s="64"/>
      <c r="E172" s="64"/>
      <c r="F172" s="141"/>
      <c r="G172" s="148"/>
      <c r="H172" s="23"/>
      <c r="I172" s="43"/>
      <c r="J172" s="23"/>
      <c r="K172" s="171"/>
      <c r="L172" s="171"/>
      <c r="M172" s="171"/>
      <c r="N172" s="23"/>
      <c r="O172" s="190"/>
      <c r="P172" s="51"/>
      <c r="S172" s="51"/>
      <c r="T172" s="52"/>
      <c r="U172" s="23"/>
      <c r="V172" s="53"/>
      <c r="W172" s="23"/>
      <c r="X172" s="51"/>
      <c r="Y172" s="52"/>
      <c r="Z172" s="23"/>
      <c r="AA172" s="51"/>
      <c r="AC172" s="54"/>
      <c r="AD172" s="18"/>
      <c r="AE172" s="11"/>
      <c r="AF172" s="11"/>
    </row>
    <row r="173" spans="1:34" ht="19.5" customHeight="1" thickTop="1" thickBot="1" x14ac:dyDescent="0.3">
      <c r="A173" s="64"/>
      <c r="B173" s="64"/>
      <c r="C173" s="64"/>
      <c r="D173" s="64"/>
      <c r="E173" s="64"/>
      <c r="F173" s="64"/>
      <c r="G173" s="148"/>
      <c r="H173" s="158"/>
      <c r="I173" s="43"/>
      <c r="J173" s="23"/>
      <c r="K173" s="170"/>
      <c r="L173" s="170"/>
      <c r="M173" s="170"/>
      <c r="N173" s="23"/>
      <c r="O173" s="190"/>
      <c r="P173" s="51"/>
      <c r="Q173" s="11"/>
      <c r="R173" s="11"/>
      <c r="S173" s="51"/>
      <c r="T173" s="54"/>
      <c r="U173" s="23"/>
      <c r="V173" s="55"/>
      <c r="W173" s="23"/>
      <c r="X173" s="51"/>
      <c r="Y173" s="54"/>
      <c r="Z173" s="23"/>
      <c r="AB173" s="11"/>
      <c r="AC173" s="23"/>
      <c r="AD173" s="11"/>
    </row>
    <row r="174" spans="1:34" ht="19.5" customHeight="1" thickTop="1" x14ac:dyDescent="0.25">
      <c r="A174" s="64"/>
      <c r="B174" s="64"/>
      <c r="C174" s="64"/>
      <c r="D174" s="64"/>
      <c r="E174" s="64"/>
      <c r="F174" s="64"/>
      <c r="G174" s="64"/>
      <c r="H174" s="160"/>
      <c r="I174" s="56"/>
      <c r="J174" s="23"/>
      <c r="K174" s="170"/>
      <c r="L174" s="170"/>
      <c r="M174" s="170"/>
      <c r="N174" s="23"/>
      <c r="O174" s="190"/>
      <c r="T174" s="23"/>
      <c r="U174" s="23"/>
      <c r="V174" s="1"/>
      <c r="W174" s="23"/>
      <c r="Y174" s="23"/>
      <c r="Z174" s="23"/>
      <c r="AA174" s="57"/>
      <c r="AC174" s="52"/>
      <c r="AD174" s="11"/>
    </row>
    <row r="175" spans="1:34" ht="18.75" thickBot="1" x14ac:dyDescent="0.3">
      <c r="A175" s="64"/>
      <c r="B175" s="64"/>
      <c r="C175" s="64"/>
      <c r="D175" s="64"/>
      <c r="E175" s="64"/>
      <c r="F175" s="156"/>
      <c r="G175" s="64"/>
      <c r="H175" s="160"/>
      <c r="I175" s="56"/>
      <c r="J175" s="23"/>
      <c r="K175" s="178"/>
      <c r="L175" s="178"/>
      <c r="M175" s="178"/>
      <c r="N175" s="23"/>
      <c r="O175" s="190"/>
      <c r="P175" s="57"/>
      <c r="S175" s="57"/>
      <c r="T175" s="23"/>
      <c r="U175" s="23"/>
      <c r="V175" s="31"/>
      <c r="W175" s="23"/>
      <c r="X175" s="57"/>
      <c r="Y175" s="52"/>
      <c r="Z175" s="23"/>
      <c r="AA175" s="42"/>
      <c r="AC175" s="56"/>
    </row>
    <row r="176" spans="1:34" ht="18" customHeight="1" x14ac:dyDescent="0.25">
      <c r="A176" s="64"/>
      <c r="B176" s="64"/>
      <c r="C176" s="64"/>
      <c r="D176" s="64"/>
      <c r="E176" s="64"/>
      <c r="F176" s="148" t="s">
        <v>125</v>
      </c>
      <c r="G176" s="64"/>
      <c r="H176" s="160"/>
      <c r="I176" s="56"/>
      <c r="J176" s="23"/>
      <c r="K176" s="171"/>
      <c r="L176" s="171"/>
      <c r="M176" s="171"/>
      <c r="N176" s="23"/>
      <c r="O176" s="190"/>
      <c r="P176" s="42"/>
      <c r="S176" s="42"/>
      <c r="T176" s="23"/>
      <c r="U176" s="23"/>
      <c r="V176" s="23"/>
      <c r="W176" s="23"/>
      <c r="X176" s="42"/>
      <c r="Y176" s="56"/>
      <c r="Z176" s="23"/>
      <c r="AA176" s="58"/>
      <c r="AC176" s="56"/>
      <c r="AE176" s="11"/>
    </row>
    <row r="177" spans="1:34" ht="18" customHeight="1" x14ac:dyDescent="0.25">
      <c r="A177" s="64"/>
      <c r="B177" s="64"/>
      <c r="C177" s="64"/>
      <c r="D177" s="64"/>
      <c r="E177" s="64"/>
      <c r="F177" s="148"/>
      <c r="G177" s="64"/>
      <c r="H177" s="160"/>
      <c r="I177" s="56"/>
      <c r="J177" s="23"/>
      <c r="K177" s="171"/>
      <c r="L177" s="171"/>
      <c r="M177" s="171"/>
      <c r="N177" s="23"/>
      <c r="O177" s="190"/>
      <c r="P177" s="42"/>
      <c r="S177" s="42"/>
      <c r="T177" s="23"/>
      <c r="U177" s="23"/>
      <c r="V177" s="23"/>
      <c r="W177" s="23"/>
      <c r="X177" s="42"/>
      <c r="Y177" s="56"/>
      <c r="Z177" s="23"/>
      <c r="AA177" s="58"/>
      <c r="AC177" s="56"/>
      <c r="AE177" s="11"/>
    </row>
    <row r="178" spans="1:34" ht="15" customHeight="1" x14ac:dyDescent="0.25">
      <c r="A178" s="64"/>
      <c r="B178" s="64"/>
      <c r="C178" s="64"/>
      <c r="D178" s="64"/>
      <c r="E178" s="64"/>
      <c r="F178" s="64"/>
      <c r="G178" s="64"/>
      <c r="H178" s="160"/>
      <c r="I178" s="23"/>
      <c r="J178" s="23"/>
      <c r="K178" s="171"/>
      <c r="L178" s="171"/>
      <c r="M178" s="171"/>
      <c r="N178" s="23"/>
      <c r="O178" s="190"/>
      <c r="P178" s="58"/>
      <c r="Q178" s="11"/>
      <c r="S178" s="58"/>
      <c r="T178" s="23"/>
      <c r="U178" s="23"/>
      <c r="V178" s="23"/>
      <c r="W178" s="23"/>
      <c r="X178" s="58"/>
      <c r="Y178" s="56"/>
      <c r="Z178" s="23"/>
      <c r="AA178" s="45"/>
      <c r="AC178" s="56"/>
      <c r="AE178" s="11"/>
      <c r="AG178" s="23"/>
    </row>
    <row r="179" spans="1:34" ht="15" customHeight="1" x14ac:dyDescent="0.25">
      <c r="A179" s="64"/>
      <c r="B179" s="64"/>
      <c r="C179" s="64"/>
      <c r="D179" s="64"/>
      <c r="E179" s="64"/>
      <c r="F179" s="64"/>
      <c r="G179" s="64"/>
      <c r="H179" s="160"/>
      <c r="I179" s="23"/>
      <c r="J179" s="23"/>
      <c r="K179" s="23"/>
      <c r="L179" s="23"/>
      <c r="M179" s="23"/>
      <c r="N179" s="23"/>
      <c r="O179" s="190"/>
      <c r="P179" s="45"/>
      <c r="S179" s="45"/>
      <c r="T179" s="23"/>
      <c r="U179" s="23"/>
      <c r="V179" s="23"/>
      <c r="W179" s="23"/>
      <c r="X179" s="45"/>
      <c r="Y179" s="56"/>
      <c r="Z179" s="23"/>
      <c r="AA179" s="45"/>
      <c r="AB179" s="11"/>
      <c r="AC179" s="56"/>
      <c r="AE179" s="11"/>
      <c r="AG179" s="23"/>
    </row>
    <row r="180" spans="1:34" ht="15" customHeight="1" x14ac:dyDescent="0.25">
      <c r="A180" s="64"/>
      <c r="B180" s="64"/>
      <c r="C180" s="64"/>
      <c r="D180" s="64"/>
      <c r="E180" s="64"/>
      <c r="F180" s="64"/>
      <c r="G180" s="64"/>
      <c r="H180" s="65"/>
      <c r="I180" s="23"/>
      <c r="J180" s="23"/>
      <c r="K180" s="23"/>
      <c r="L180" s="23"/>
      <c r="M180" s="23"/>
      <c r="N180" s="23"/>
      <c r="O180" s="190"/>
      <c r="P180" s="45"/>
      <c r="Q180" s="11"/>
      <c r="S180" s="45"/>
      <c r="T180" s="23"/>
      <c r="U180" s="23"/>
      <c r="V180" s="23"/>
      <c r="W180" s="23"/>
      <c r="X180" s="45"/>
      <c r="Y180" s="56"/>
      <c r="Z180" s="23"/>
      <c r="AA180" s="45"/>
      <c r="AC180" s="56"/>
      <c r="AG180" s="23"/>
    </row>
    <row r="181" spans="1:34" ht="15" customHeight="1" x14ac:dyDescent="0.25">
      <c r="A181" s="64"/>
      <c r="B181" s="64"/>
      <c r="C181" s="64"/>
      <c r="D181" s="64"/>
      <c r="E181" s="64"/>
      <c r="G181" s="64"/>
      <c r="H181" s="65"/>
      <c r="I181" s="23"/>
      <c r="J181" s="23"/>
      <c r="K181" s="23"/>
      <c r="L181" s="23"/>
      <c r="M181" s="23"/>
      <c r="N181" s="23"/>
      <c r="O181" s="190"/>
      <c r="P181" s="45"/>
      <c r="Q181" s="11"/>
      <c r="S181" s="45"/>
      <c r="T181" s="23"/>
      <c r="U181" s="23"/>
      <c r="V181" s="23"/>
      <c r="W181" s="23"/>
      <c r="X181" s="45"/>
      <c r="Y181" s="56"/>
      <c r="Z181" s="23"/>
      <c r="AA181" s="45"/>
      <c r="AC181" s="56"/>
      <c r="AG181" s="23"/>
    </row>
    <row r="182" spans="1:34" ht="29.25" customHeight="1" x14ac:dyDescent="0.25">
      <c r="A182" s="64"/>
      <c r="B182" s="64"/>
      <c r="C182" s="64"/>
      <c r="D182" s="64"/>
      <c r="E182" s="64"/>
      <c r="G182" s="64"/>
      <c r="H182" s="65"/>
      <c r="I182" s="23"/>
      <c r="J182" s="23"/>
      <c r="K182" s="23"/>
      <c r="L182" s="23"/>
      <c r="M182" s="23"/>
      <c r="N182" s="23"/>
      <c r="O182" s="190"/>
      <c r="P182" s="45"/>
      <c r="Q182" s="11"/>
      <c r="S182" s="45"/>
      <c r="T182" s="23"/>
      <c r="U182" s="23"/>
      <c r="V182" s="23"/>
      <c r="W182" s="23"/>
      <c r="X182" s="45"/>
      <c r="Y182" s="56"/>
      <c r="Z182" s="23"/>
      <c r="AA182" s="45"/>
      <c r="AC182" s="56"/>
      <c r="AG182" s="23"/>
    </row>
    <row r="183" spans="1:34" ht="15" customHeight="1" x14ac:dyDescent="0.25">
      <c r="A183" s="64"/>
      <c r="B183" s="64"/>
      <c r="C183" s="64"/>
      <c r="D183" s="64"/>
      <c r="E183" s="64"/>
      <c r="G183" s="64"/>
      <c r="H183" s="65"/>
      <c r="I183" s="23"/>
      <c r="J183" s="23"/>
      <c r="K183" s="23"/>
      <c r="L183" s="23"/>
      <c r="M183" s="23"/>
      <c r="N183" s="23"/>
      <c r="O183" s="190"/>
      <c r="P183" s="45"/>
      <c r="Q183" s="11"/>
      <c r="S183" s="45"/>
      <c r="T183" s="23"/>
      <c r="U183" s="23"/>
      <c r="V183" s="23"/>
      <c r="W183" s="23"/>
      <c r="X183" s="45"/>
      <c r="Y183" s="56"/>
      <c r="Z183" s="23"/>
      <c r="AA183" s="45"/>
      <c r="AC183" s="56"/>
      <c r="AG183" s="23"/>
    </row>
    <row r="184" spans="1:34" x14ac:dyDescent="0.25">
      <c r="A184" s="64"/>
      <c r="B184" s="64"/>
      <c r="C184" s="64"/>
      <c r="D184" s="64"/>
      <c r="E184" s="64"/>
      <c r="G184" s="64"/>
      <c r="H184" s="65"/>
      <c r="I184" s="23"/>
      <c r="J184" s="23"/>
      <c r="K184" s="23"/>
      <c r="L184" s="23"/>
      <c r="M184" s="23"/>
      <c r="N184" s="23"/>
      <c r="O184" s="190"/>
      <c r="P184" s="45"/>
      <c r="Q184" s="11"/>
      <c r="S184" s="45"/>
      <c r="T184" s="23"/>
      <c r="U184" s="23"/>
      <c r="V184" s="23"/>
      <c r="W184" s="23"/>
      <c r="X184" s="45"/>
      <c r="Y184" s="56"/>
      <c r="Z184" s="23"/>
      <c r="AA184" s="45"/>
      <c r="AC184" s="56"/>
      <c r="AG184" s="23"/>
    </row>
    <row r="185" spans="1:34" ht="18" x14ac:dyDescent="0.25">
      <c r="A185" s="64"/>
      <c r="B185" s="64"/>
      <c r="C185" s="64"/>
      <c r="D185" s="64"/>
      <c r="E185" s="64"/>
      <c r="F185" s="148"/>
      <c r="G185" s="64"/>
      <c r="H185" s="65"/>
      <c r="I185" s="23"/>
      <c r="J185" s="23"/>
      <c r="K185" s="23"/>
      <c r="L185" s="23"/>
      <c r="M185" s="23"/>
      <c r="N185" s="23"/>
      <c r="O185" s="190"/>
      <c r="P185" s="45"/>
      <c r="S185" s="45"/>
      <c r="T185" s="23"/>
      <c r="U185" s="23"/>
      <c r="V185" s="23"/>
      <c r="W185" s="23"/>
      <c r="X185" s="45"/>
      <c r="Y185" s="56"/>
      <c r="Z185" s="23"/>
      <c r="AA185" s="1"/>
      <c r="AC185" s="56"/>
      <c r="AG185" s="23"/>
    </row>
    <row r="186" spans="1:34" ht="15" customHeight="1" x14ac:dyDescent="0.25">
      <c r="A186" s="64"/>
      <c r="B186" s="64"/>
      <c r="C186" s="64"/>
      <c r="D186" s="64"/>
      <c r="E186" s="64"/>
      <c r="F186" s="64"/>
      <c r="G186" s="64"/>
      <c r="H186" s="65"/>
      <c r="I186" s="23"/>
      <c r="J186" s="23"/>
      <c r="K186" s="23"/>
      <c r="L186" s="23"/>
      <c r="M186" s="23"/>
      <c r="N186" s="23"/>
      <c r="O186" s="190"/>
      <c r="P186" s="31"/>
      <c r="S186" s="11"/>
      <c r="T186" s="23"/>
      <c r="U186" s="23"/>
      <c r="V186" s="23"/>
      <c r="W186" s="23"/>
      <c r="X186" s="11"/>
      <c r="Y186" s="56"/>
      <c r="Z186" s="23"/>
      <c r="AA186" s="58"/>
      <c r="AC186" s="56"/>
      <c r="AE186" s="11"/>
      <c r="AG186" s="11"/>
      <c r="AH186" s="11"/>
    </row>
    <row r="187" spans="1:34" ht="15" customHeight="1" x14ac:dyDescent="0.25">
      <c r="A187" s="64"/>
      <c r="B187" s="64"/>
      <c r="C187" s="64"/>
      <c r="D187" s="64"/>
      <c r="E187" s="64"/>
      <c r="F187" s="64"/>
      <c r="G187" s="64"/>
      <c r="H187" s="65"/>
      <c r="I187" s="23"/>
      <c r="J187" s="23"/>
      <c r="K187" s="23"/>
      <c r="L187" s="23"/>
      <c r="M187" s="23"/>
      <c r="N187" s="23"/>
      <c r="O187" s="192"/>
      <c r="P187" s="58"/>
      <c r="S187" s="58"/>
      <c r="T187" s="23"/>
      <c r="U187" s="23"/>
      <c r="V187" s="23"/>
      <c r="W187" s="23"/>
      <c r="X187" s="58"/>
      <c r="Y187" s="56"/>
      <c r="Z187" s="23"/>
      <c r="AA187" s="58"/>
      <c r="AC187" s="56"/>
      <c r="AE187" s="23"/>
    </row>
    <row r="188" spans="1:34" ht="15.75" customHeight="1" x14ac:dyDescent="0.25">
      <c r="A188" s="64"/>
      <c r="B188" s="64"/>
      <c r="C188" s="64"/>
      <c r="D188" s="64"/>
      <c r="E188" s="64"/>
      <c r="F188" s="64"/>
      <c r="G188" s="64"/>
      <c r="H188" s="65"/>
      <c r="I188" s="23"/>
      <c r="J188" s="23"/>
      <c r="K188" s="23"/>
      <c r="L188" s="23"/>
      <c r="M188" s="23"/>
      <c r="N188" s="23"/>
      <c r="O188" s="192"/>
      <c r="P188" s="58"/>
      <c r="Q188" s="11"/>
      <c r="T188" s="23"/>
      <c r="U188" s="23"/>
      <c r="V188" s="23"/>
      <c r="W188" s="23"/>
      <c r="X188" s="58"/>
      <c r="Y188" s="56"/>
      <c r="Z188" s="23"/>
      <c r="AC188" s="56"/>
      <c r="AG188" s="11"/>
    </row>
    <row r="189" spans="1:34" x14ac:dyDescent="0.25">
      <c r="H189" s="30"/>
      <c r="I189" s="23"/>
      <c r="J189" s="23"/>
      <c r="K189" s="23"/>
      <c r="L189" s="23"/>
      <c r="M189" s="23"/>
      <c r="N189" s="23"/>
      <c r="O189" s="193"/>
      <c r="P189" s="18"/>
      <c r="Q189" s="11"/>
      <c r="S189" s="11"/>
      <c r="T189" s="23"/>
      <c r="U189" s="23"/>
      <c r="V189" s="23"/>
      <c r="W189" s="23"/>
      <c r="Y189" s="56"/>
      <c r="Z189" s="23"/>
      <c r="AA189" s="51"/>
      <c r="AC189" s="59"/>
    </row>
    <row r="190" spans="1:34" x14ac:dyDescent="0.25">
      <c r="I190" s="23"/>
      <c r="J190" s="23"/>
      <c r="K190" s="23"/>
      <c r="L190" s="23"/>
      <c r="M190" s="23"/>
      <c r="N190" s="23"/>
      <c r="O190" s="193"/>
      <c r="P190" s="51"/>
      <c r="S190" s="51"/>
      <c r="T190" s="59"/>
      <c r="U190" s="23"/>
      <c r="V190" s="59"/>
      <c r="W190" s="23"/>
      <c r="X190" s="51"/>
      <c r="Y190" s="59"/>
      <c r="Z190" s="23"/>
      <c r="AA190" s="51"/>
      <c r="AC190" s="60"/>
    </row>
    <row r="191" spans="1:34" ht="15.75" thickBot="1" x14ac:dyDescent="0.3">
      <c r="I191" s="23"/>
      <c r="J191" s="23"/>
      <c r="K191" s="23"/>
      <c r="L191" s="23"/>
      <c r="M191" s="23"/>
      <c r="N191" s="23"/>
      <c r="O191" s="193"/>
      <c r="P191" s="51"/>
      <c r="R191" s="11"/>
      <c r="S191" s="51"/>
      <c r="T191" s="60"/>
      <c r="U191" s="23"/>
      <c r="V191" s="60"/>
      <c r="W191" s="23"/>
      <c r="X191" s="51"/>
      <c r="Y191" s="60"/>
      <c r="Z191" s="23"/>
      <c r="AA191" s="58"/>
      <c r="AC191" s="61"/>
      <c r="AE191" s="11"/>
    </row>
    <row r="192" spans="1:34" ht="15.75" thickBot="1" x14ac:dyDescent="0.3">
      <c r="I192" s="23"/>
      <c r="J192" s="23"/>
      <c r="K192" s="23"/>
      <c r="L192" s="23"/>
      <c r="M192" s="23"/>
      <c r="N192" s="23"/>
      <c r="O192" s="193"/>
      <c r="P192" s="58"/>
      <c r="Q192" s="11"/>
      <c r="S192" s="58"/>
      <c r="T192" s="61"/>
      <c r="U192" s="23"/>
      <c r="V192" s="61"/>
      <c r="W192" s="23"/>
      <c r="X192" s="58"/>
      <c r="Y192" s="61"/>
      <c r="Z192" s="23"/>
      <c r="AA192" s="62"/>
      <c r="AC192" s="63"/>
      <c r="AD192" s="23"/>
      <c r="AE192" s="11"/>
    </row>
    <row r="193" spans="9:29" ht="15.75" thickBot="1" x14ac:dyDescent="0.3">
      <c r="I193" s="23"/>
      <c r="J193" s="23"/>
      <c r="K193" s="23"/>
      <c r="L193" s="23"/>
      <c r="M193" s="23"/>
      <c r="N193" s="23"/>
      <c r="O193" s="193"/>
      <c r="P193" s="62"/>
      <c r="R193" s="18"/>
      <c r="S193" s="62"/>
      <c r="T193" s="63"/>
      <c r="U193" s="23"/>
      <c r="V193" s="63"/>
      <c r="W193" s="23"/>
      <c r="X193" s="62"/>
      <c r="Y193" s="63"/>
      <c r="Z193" s="23"/>
      <c r="AA193" s="11"/>
      <c r="AC193" s="23"/>
    </row>
    <row r="194" spans="9:29" ht="15.75" thickTop="1" x14ac:dyDescent="0.25">
      <c r="I194" s="23"/>
      <c r="J194" s="23"/>
      <c r="K194" s="23"/>
      <c r="L194" s="23"/>
      <c r="M194" s="23"/>
      <c r="N194" s="23"/>
      <c r="O194" s="164"/>
      <c r="P194" s="11"/>
      <c r="S194" s="11"/>
      <c r="T194" s="23"/>
      <c r="U194" s="23"/>
      <c r="V194" s="23"/>
      <c r="W194" s="23"/>
      <c r="X194" s="11"/>
      <c r="Y194" s="23"/>
      <c r="Z194" s="23"/>
      <c r="AC194" s="23"/>
    </row>
    <row r="195" spans="9:29" x14ac:dyDescent="0.25">
      <c r="I195" s="23"/>
      <c r="J195" s="23"/>
      <c r="K195" s="23"/>
      <c r="L195" s="23"/>
      <c r="M195" s="23"/>
      <c r="N195" s="23"/>
      <c r="O195" s="179"/>
      <c r="P195" s="11"/>
      <c r="T195" s="23"/>
      <c r="U195" s="23"/>
      <c r="V195" s="23"/>
      <c r="W195" s="23"/>
      <c r="Y195" s="23"/>
      <c r="Z195" s="23"/>
    </row>
    <row r="196" spans="9:29" x14ac:dyDescent="0.25">
      <c r="I196" s="23"/>
      <c r="J196" s="23"/>
      <c r="K196" s="23"/>
      <c r="L196" s="23"/>
      <c r="M196" s="23"/>
      <c r="N196" s="23"/>
      <c r="O196" s="164"/>
      <c r="Q196" s="11"/>
      <c r="T196" s="23"/>
      <c r="U196" s="23"/>
      <c r="V196" s="23"/>
      <c r="W196" s="23"/>
      <c r="Y196" s="23"/>
      <c r="Z196" s="23"/>
    </row>
    <row r="197" spans="9:29" x14ac:dyDescent="0.25">
      <c r="I197" s="23"/>
      <c r="J197" s="23"/>
      <c r="K197" s="23"/>
      <c r="L197" s="23"/>
      <c r="M197" s="23"/>
      <c r="N197" s="23"/>
      <c r="O197" s="164"/>
      <c r="Q197" s="11"/>
      <c r="R197" s="18"/>
      <c r="S197" s="11"/>
      <c r="T197" s="23"/>
      <c r="U197" s="23"/>
      <c r="V197" s="23"/>
      <c r="W197" s="23"/>
      <c r="Y197" s="23"/>
      <c r="Z197" s="23"/>
    </row>
    <row r="198" spans="9:29" x14ac:dyDescent="0.25">
      <c r="I198" s="23"/>
      <c r="J198" s="23"/>
      <c r="K198" s="23"/>
      <c r="L198" s="23"/>
      <c r="M198" s="23"/>
      <c r="N198" s="23"/>
      <c r="O198" s="164"/>
      <c r="P198" s="23"/>
      <c r="Q198" s="11"/>
      <c r="S198" s="18"/>
      <c r="T198" s="23"/>
      <c r="U198" s="23"/>
      <c r="V198" s="23"/>
      <c r="W198" s="23"/>
      <c r="Y198" s="23"/>
      <c r="Z198" s="23"/>
    </row>
    <row r="199" spans="9:29" x14ac:dyDescent="0.25">
      <c r="I199" s="23"/>
      <c r="J199" s="23"/>
      <c r="K199" s="23"/>
      <c r="L199" s="23"/>
      <c r="M199" s="23"/>
      <c r="N199" s="23"/>
      <c r="O199" s="164"/>
      <c r="P199" s="23"/>
      <c r="S199" s="18"/>
      <c r="T199" s="23"/>
      <c r="U199" s="23"/>
      <c r="V199" s="23"/>
      <c r="W199" s="23"/>
      <c r="Y199" s="23"/>
      <c r="Z199" s="23"/>
    </row>
    <row r="200" spans="9:29" x14ac:dyDescent="0.25">
      <c r="I200" s="23"/>
      <c r="J200" s="23"/>
      <c r="K200" s="23"/>
      <c r="L200" s="23"/>
      <c r="M200" s="23"/>
      <c r="N200" s="23"/>
      <c r="O200" s="164"/>
      <c r="P200" s="23"/>
      <c r="Q200" s="11"/>
      <c r="R200" s="11"/>
      <c r="T200" s="23"/>
      <c r="U200" s="23"/>
      <c r="V200" s="23"/>
      <c r="W200" s="23"/>
      <c r="Y200" s="23"/>
      <c r="Z200" s="23"/>
    </row>
    <row r="201" spans="9:29" x14ac:dyDescent="0.25">
      <c r="I201" s="23"/>
      <c r="J201" s="23"/>
      <c r="K201" s="23"/>
      <c r="L201" s="23"/>
      <c r="M201" s="23"/>
      <c r="N201" s="23"/>
      <c r="O201" s="163"/>
      <c r="P201" s="23"/>
      <c r="Q201" s="11"/>
      <c r="T201" s="23"/>
      <c r="U201" s="23"/>
      <c r="Y201" s="11"/>
      <c r="Z201" s="23"/>
    </row>
    <row r="202" spans="9:29" x14ac:dyDescent="0.25">
      <c r="I202" s="23"/>
      <c r="J202" s="23"/>
      <c r="K202" s="23"/>
      <c r="L202" s="23"/>
      <c r="M202" s="23"/>
      <c r="N202" s="23"/>
      <c r="O202" s="163"/>
      <c r="P202" s="23"/>
      <c r="R202" s="11"/>
      <c r="T202" s="23"/>
      <c r="U202" s="23"/>
      <c r="Y202" s="11"/>
      <c r="Z202" s="23"/>
    </row>
    <row r="203" spans="9:29" x14ac:dyDescent="0.25">
      <c r="I203" s="23"/>
      <c r="J203" s="23"/>
      <c r="K203" s="23"/>
      <c r="L203" s="23"/>
      <c r="M203" s="23"/>
      <c r="N203" s="23"/>
      <c r="O203" s="163"/>
      <c r="P203" s="23"/>
      <c r="S203" s="18"/>
      <c r="T203" s="23"/>
      <c r="U203" s="23"/>
      <c r="Y203" s="11"/>
    </row>
    <row r="204" spans="9:29" x14ac:dyDescent="0.25">
      <c r="I204" s="23"/>
      <c r="J204" s="23"/>
      <c r="K204" s="23"/>
      <c r="L204" s="23"/>
      <c r="M204" s="23"/>
      <c r="N204" s="23"/>
      <c r="O204" s="163"/>
      <c r="P204" s="23"/>
      <c r="T204" s="23"/>
      <c r="U204" s="23"/>
    </row>
    <row r="205" spans="9:29" x14ac:dyDescent="0.25">
      <c r="I205" s="23"/>
      <c r="J205" s="23"/>
      <c r="K205" s="23"/>
      <c r="L205" s="23"/>
      <c r="M205" s="23"/>
      <c r="N205" s="23"/>
      <c r="O205" s="163"/>
      <c r="P205" s="23"/>
      <c r="T205" s="23"/>
      <c r="U205" s="23"/>
    </row>
    <row r="206" spans="9:29" x14ac:dyDescent="0.25">
      <c r="I206" s="23"/>
      <c r="J206" s="23"/>
      <c r="K206" s="23"/>
      <c r="L206" s="23"/>
      <c r="M206" s="23"/>
      <c r="N206" s="23"/>
      <c r="O206" s="163"/>
      <c r="P206" s="23"/>
    </row>
    <row r="207" spans="9:29" x14ac:dyDescent="0.25">
      <c r="I207" s="23"/>
      <c r="J207" s="23"/>
      <c r="K207" s="23"/>
      <c r="L207" s="23"/>
      <c r="M207" s="23"/>
      <c r="N207" s="23"/>
      <c r="O207" s="163"/>
      <c r="P207" s="23"/>
      <c r="T207" s="11"/>
      <c r="V207" s="11"/>
    </row>
    <row r="208" spans="9:29" x14ac:dyDescent="0.25">
      <c r="I208" s="23"/>
      <c r="J208" s="23"/>
      <c r="K208" s="23"/>
      <c r="L208" s="23"/>
      <c r="M208" s="23"/>
      <c r="N208" s="23"/>
      <c r="O208" s="163"/>
      <c r="P208" s="23"/>
      <c r="R208" s="11"/>
    </row>
    <row r="209" spans="9:16" x14ac:dyDescent="0.25">
      <c r="I209" s="23"/>
      <c r="J209" s="23"/>
      <c r="K209" s="23"/>
      <c r="L209" s="23"/>
      <c r="M209" s="23"/>
      <c r="N209" s="23"/>
      <c r="O209" s="163"/>
      <c r="P209" s="23"/>
    </row>
    <row r="210" spans="9:16" x14ac:dyDescent="0.25">
      <c r="I210" s="23"/>
      <c r="J210" s="23"/>
      <c r="K210" s="23"/>
      <c r="L210" s="23"/>
      <c r="M210" s="23"/>
      <c r="N210" s="23"/>
      <c r="O210" s="163"/>
      <c r="P210" s="23"/>
    </row>
    <row r="211" spans="9:16" x14ac:dyDescent="0.25">
      <c r="I211" s="23"/>
      <c r="J211" s="23"/>
      <c r="K211" s="23"/>
      <c r="L211" s="23"/>
      <c r="M211" s="23"/>
      <c r="N211" s="23"/>
      <c r="O211" s="163"/>
      <c r="P211" s="23"/>
    </row>
    <row r="212" spans="9:16" x14ac:dyDescent="0.25">
      <c r="I212" s="23"/>
      <c r="J212" s="23"/>
      <c r="K212" s="23"/>
      <c r="L212" s="23"/>
      <c r="M212" s="23"/>
      <c r="N212" s="23"/>
      <c r="O212" s="163"/>
      <c r="P212" s="23"/>
    </row>
    <row r="213" spans="9:16" x14ac:dyDescent="0.25">
      <c r="I213" s="23"/>
      <c r="J213" s="23"/>
      <c r="K213" s="23"/>
      <c r="L213" s="23"/>
      <c r="M213" s="23"/>
      <c r="N213" s="23"/>
      <c r="O213" s="163"/>
      <c r="P213" s="23"/>
    </row>
    <row r="214" spans="9:16" x14ac:dyDescent="0.25">
      <c r="I214" s="23"/>
      <c r="J214" s="23"/>
      <c r="K214" s="23"/>
      <c r="L214" s="23"/>
      <c r="M214" s="23"/>
      <c r="N214" s="23"/>
      <c r="O214" s="163"/>
      <c r="P214" s="23"/>
    </row>
    <row r="215" spans="9:16" x14ac:dyDescent="0.25">
      <c r="I215" s="23"/>
      <c r="J215" s="23"/>
      <c r="K215" s="23"/>
      <c r="L215" s="23"/>
      <c r="M215" s="23"/>
      <c r="N215" s="23"/>
      <c r="O215" s="163"/>
      <c r="P215" s="23"/>
    </row>
    <row r="216" spans="9:16" x14ac:dyDescent="0.25">
      <c r="I216" s="23"/>
      <c r="J216" s="23"/>
      <c r="K216" s="23"/>
      <c r="L216" s="23"/>
      <c r="M216" s="23"/>
      <c r="N216" s="23"/>
      <c r="O216" s="163"/>
      <c r="P216" s="23"/>
    </row>
    <row r="217" spans="9:16" x14ac:dyDescent="0.25">
      <c r="I217" s="23"/>
      <c r="J217" s="23"/>
      <c r="K217" s="23"/>
      <c r="L217" s="23"/>
      <c r="M217" s="23"/>
      <c r="N217" s="23"/>
      <c r="O217" s="163"/>
      <c r="P217" s="23"/>
    </row>
    <row r="218" spans="9:16" x14ac:dyDescent="0.25">
      <c r="I218" s="23"/>
      <c r="J218" s="23"/>
      <c r="K218" s="23"/>
      <c r="L218" s="23"/>
      <c r="M218" s="23"/>
      <c r="N218" s="23"/>
      <c r="O218" s="163"/>
      <c r="P218" s="23"/>
    </row>
    <row r="219" spans="9:16" x14ac:dyDescent="0.25">
      <c r="I219" s="23"/>
      <c r="J219" s="23"/>
      <c r="K219" s="23"/>
      <c r="L219" s="23"/>
      <c r="M219" s="23"/>
      <c r="N219" s="23"/>
      <c r="O219" s="163"/>
      <c r="P219" s="23"/>
    </row>
    <row r="220" spans="9:16" x14ac:dyDescent="0.25">
      <c r="I220" s="23"/>
      <c r="J220" s="23"/>
      <c r="K220" s="23"/>
      <c r="L220" s="23"/>
      <c r="M220" s="23"/>
      <c r="N220" s="23"/>
      <c r="O220" s="163"/>
      <c r="P220" s="23"/>
    </row>
    <row r="221" spans="9:16" x14ac:dyDescent="0.25">
      <c r="I221" s="23"/>
      <c r="J221" s="23"/>
      <c r="K221" s="23"/>
      <c r="L221" s="23"/>
      <c r="M221" s="23"/>
      <c r="N221" s="23"/>
      <c r="O221" s="163"/>
      <c r="P221" s="23"/>
    </row>
    <row r="222" spans="9:16" x14ac:dyDescent="0.25">
      <c r="I222" s="23"/>
      <c r="J222" s="23"/>
      <c r="K222" s="23"/>
      <c r="L222" s="23"/>
      <c r="M222" s="23"/>
      <c r="N222" s="23"/>
      <c r="O222" s="163"/>
      <c r="P222" s="23"/>
    </row>
    <row r="223" spans="9:16" x14ac:dyDescent="0.25">
      <c r="I223" s="23"/>
      <c r="J223" s="23"/>
      <c r="K223" s="23"/>
      <c r="L223" s="23"/>
      <c r="M223" s="23"/>
      <c r="N223" s="23"/>
      <c r="O223" s="163"/>
      <c r="P223" s="23"/>
    </row>
    <row r="224" spans="9:16" x14ac:dyDescent="0.25">
      <c r="I224" s="23"/>
      <c r="J224" s="23"/>
      <c r="K224" s="23"/>
      <c r="L224" s="23"/>
      <c r="M224" s="23"/>
      <c r="N224" s="23"/>
      <c r="O224" s="163"/>
      <c r="P224" s="23"/>
    </row>
    <row r="225" spans="9:16" x14ac:dyDescent="0.25">
      <c r="I225" s="23"/>
      <c r="J225" s="23"/>
      <c r="K225" s="23"/>
      <c r="L225" s="23"/>
      <c r="M225" s="23"/>
      <c r="N225" s="23"/>
      <c r="O225" s="163"/>
      <c r="P225" s="23"/>
    </row>
    <row r="226" spans="9:16" x14ac:dyDescent="0.25">
      <c r="I226" s="23"/>
      <c r="J226" s="23"/>
      <c r="K226" s="23"/>
      <c r="L226" s="23"/>
      <c r="M226" s="23"/>
      <c r="N226" s="23"/>
      <c r="O226" s="163"/>
      <c r="P226" s="23"/>
    </row>
    <row r="227" spans="9:16" x14ac:dyDescent="0.25">
      <c r="I227" s="23"/>
      <c r="J227" s="23"/>
      <c r="K227" s="23"/>
      <c r="L227" s="23"/>
      <c r="M227" s="23"/>
      <c r="N227" s="23"/>
      <c r="O227" s="163"/>
      <c r="P227" s="23"/>
    </row>
    <row r="228" spans="9:16" x14ac:dyDescent="0.25">
      <c r="I228" s="23"/>
      <c r="J228" s="23"/>
      <c r="K228" s="23"/>
      <c r="L228" s="23"/>
      <c r="M228" s="23"/>
      <c r="N228" s="23"/>
      <c r="O228" s="163"/>
      <c r="P228" s="23"/>
    </row>
    <row r="229" spans="9:16" x14ac:dyDescent="0.25">
      <c r="I229" s="23"/>
      <c r="J229" s="23"/>
      <c r="K229" s="23"/>
      <c r="L229" s="23"/>
      <c r="M229" s="23"/>
      <c r="N229" s="23"/>
      <c r="O229" s="163"/>
      <c r="P229" s="23"/>
    </row>
    <row r="230" spans="9:16" x14ac:dyDescent="0.25">
      <c r="I230" s="23"/>
      <c r="J230" s="23"/>
      <c r="K230" s="23"/>
      <c r="L230" s="23"/>
      <c r="M230" s="23"/>
      <c r="N230" s="23"/>
      <c r="O230" s="163"/>
      <c r="P230" s="23"/>
    </row>
    <row r="231" spans="9:16" x14ac:dyDescent="0.25">
      <c r="I231" s="23"/>
      <c r="J231" s="23"/>
      <c r="K231" s="23"/>
      <c r="L231" s="23"/>
      <c r="M231" s="23"/>
      <c r="N231" s="23"/>
      <c r="O231" s="163"/>
      <c r="P231" s="23"/>
    </row>
    <row r="232" spans="9:16" x14ac:dyDescent="0.25">
      <c r="I232" s="23"/>
      <c r="J232" s="23"/>
      <c r="K232" s="23"/>
      <c r="L232" s="23"/>
      <c r="M232" s="23"/>
      <c r="N232" s="23"/>
      <c r="O232" s="40"/>
    </row>
    <row r="233" spans="9:16" x14ac:dyDescent="0.25">
      <c r="I233" s="23"/>
      <c r="J233" s="23"/>
      <c r="K233" s="23"/>
      <c r="L233" s="23"/>
      <c r="M233" s="23"/>
      <c r="N233" s="23"/>
      <c r="O233" s="40"/>
    </row>
    <row r="234" spans="9:16" x14ac:dyDescent="0.25">
      <c r="I234" s="23"/>
      <c r="J234" s="23"/>
      <c r="K234" s="23"/>
      <c r="L234" s="23"/>
      <c r="M234" s="23"/>
      <c r="N234" s="23"/>
      <c r="O234" s="40"/>
    </row>
    <row r="235" spans="9:16" x14ac:dyDescent="0.25">
      <c r="I235" s="23"/>
      <c r="J235" s="23"/>
      <c r="K235" s="23"/>
      <c r="L235" s="23"/>
      <c r="M235" s="23"/>
      <c r="N235" s="23"/>
      <c r="O235" s="40"/>
    </row>
    <row r="236" spans="9:16" x14ac:dyDescent="0.25">
      <c r="I236" s="23"/>
      <c r="J236" s="23"/>
      <c r="K236" s="23"/>
      <c r="L236" s="23"/>
      <c r="M236" s="23"/>
      <c r="N236" s="23"/>
      <c r="O236" s="40"/>
    </row>
    <row r="237" spans="9:16" x14ac:dyDescent="0.25">
      <c r="I237" s="23"/>
      <c r="J237" s="23"/>
      <c r="K237" s="23"/>
      <c r="L237" s="23"/>
      <c r="M237" s="23"/>
      <c r="N237" s="23"/>
      <c r="O237" s="40"/>
    </row>
    <row r="238" spans="9:16" x14ac:dyDescent="0.25">
      <c r="I238" s="23"/>
      <c r="J238" s="23"/>
      <c r="K238" s="23"/>
      <c r="L238" s="23"/>
      <c r="M238" s="23"/>
      <c r="N238" s="23"/>
      <c r="O238" s="40"/>
    </row>
    <row r="239" spans="9:16" x14ac:dyDescent="0.25">
      <c r="I239" s="23"/>
      <c r="J239" s="23"/>
      <c r="K239" s="23"/>
      <c r="L239" s="23"/>
      <c r="M239" s="23"/>
      <c r="N239" s="23"/>
      <c r="O239" s="40"/>
    </row>
    <row r="240" spans="9:16" x14ac:dyDescent="0.25">
      <c r="I240" s="23"/>
      <c r="J240" s="23"/>
      <c r="K240" s="23"/>
      <c r="L240" s="23"/>
      <c r="M240" s="23"/>
      <c r="N240" s="23"/>
      <c r="O240" s="40"/>
    </row>
    <row r="241" spans="9:15" x14ac:dyDescent="0.25">
      <c r="I241" s="23"/>
      <c r="J241" s="23"/>
      <c r="K241" s="23"/>
      <c r="L241" s="23"/>
      <c r="M241" s="23"/>
      <c r="N241" s="23"/>
      <c r="O241" s="40"/>
    </row>
    <row r="242" spans="9:15" x14ac:dyDescent="0.25">
      <c r="I242" s="23"/>
      <c r="J242" s="23"/>
      <c r="K242" s="23"/>
      <c r="L242" s="23"/>
      <c r="M242" s="23"/>
      <c r="N242" s="23"/>
      <c r="O242" s="40"/>
    </row>
    <row r="243" spans="9:15" x14ac:dyDescent="0.25">
      <c r="I243" s="23"/>
      <c r="J243" s="23"/>
      <c r="K243" s="23"/>
      <c r="L243" s="23"/>
      <c r="M243" s="23"/>
      <c r="N243" s="23"/>
      <c r="O243" s="40"/>
    </row>
    <row r="244" spans="9:15" x14ac:dyDescent="0.25">
      <c r="I244" s="23"/>
      <c r="J244" s="23"/>
      <c r="K244" s="23"/>
      <c r="L244" s="23"/>
      <c r="M244" s="23"/>
      <c r="N244" s="23"/>
      <c r="O244" s="40"/>
    </row>
    <row r="245" spans="9:15" x14ac:dyDescent="0.25">
      <c r="I245" s="23"/>
      <c r="J245" s="23"/>
      <c r="K245" s="23"/>
      <c r="L245" s="23"/>
      <c r="M245" s="23"/>
      <c r="N245" s="23"/>
      <c r="O245" s="40"/>
    </row>
    <row r="246" spans="9:15" x14ac:dyDescent="0.25">
      <c r="I246" s="23"/>
      <c r="J246" s="23"/>
      <c r="K246" s="23"/>
      <c r="L246" s="23"/>
      <c r="M246" s="23"/>
      <c r="N246" s="23"/>
      <c r="O246" s="40"/>
    </row>
    <row r="247" spans="9:15" x14ac:dyDescent="0.25">
      <c r="I247" s="23"/>
      <c r="J247" s="23"/>
      <c r="K247" s="23"/>
      <c r="L247" s="23"/>
      <c r="M247" s="23"/>
      <c r="N247" s="23"/>
      <c r="O247" s="40"/>
    </row>
    <row r="248" spans="9:15" x14ac:dyDescent="0.25">
      <c r="I248" s="23"/>
      <c r="J248" s="23"/>
      <c r="K248" s="23"/>
      <c r="L248" s="23"/>
      <c r="M248" s="23"/>
      <c r="N248" s="23"/>
      <c r="O248" s="40"/>
    </row>
    <row r="249" spans="9:15" x14ac:dyDescent="0.25">
      <c r="I249" s="23"/>
      <c r="J249" s="23"/>
      <c r="K249" s="23"/>
      <c r="L249" s="23"/>
      <c r="M249" s="23"/>
      <c r="N249" s="23"/>
      <c r="O249" s="23"/>
    </row>
    <row r="250" spans="9:15" x14ac:dyDescent="0.25">
      <c r="I250" s="23"/>
      <c r="J250" s="23"/>
      <c r="K250" s="23"/>
      <c r="L250" s="23"/>
      <c r="M250" s="23"/>
      <c r="N250" s="23"/>
      <c r="O250" s="23"/>
    </row>
    <row r="251" spans="9:15" x14ac:dyDescent="0.25">
      <c r="I251" s="23"/>
      <c r="J251" s="23"/>
      <c r="K251" s="23"/>
      <c r="L251" s="23"/>
      <c r="M251" s="23"/>
      <c r="N251" s="23"/>
      <c r="O251" s="23"/>
    </row>
    <row r="252" spans="9:15" x14ac:dyDescent="0.25">
      <c r="I252" s="23"/>
      <c r="J252" s="23"/>
      <c r="K252" s="23"/>
      <c r="L252" s="23"/>
      <c r="M252" s="23"/>
      <c r="N252" s="23"/>
      <c r="O252" s="23"/>
    </row>
    <row r="253" spans="9:15" x14ac:dyDescent="0.25">
      <c r="I253" s="23"/>
      <c r="J253" s="23"/>
      <c r="K253" s="23"/>
      <c r="L253" s="23"/>
      <c r="M253" s="23"/>
      <c r="N253" s="23"/>
      <c r="O253" s="23"/>
    </row>
    <row r="254" spans="9:15" x14ac:dyDescent="0.25">
      <c r="I254" s="23"/>
      <c r="J254" s="23"/>
      <c r="K254" s="23"/>
      <c r="L254" s="23"/>
      <c r="M254" s="23"/>
      <c r="N254" s="23"/>
      <c r="O254" s="23"/>
    </row>
    <row r="255" spans="9:15" x14ac:dyDescent="0.25">
      <c r="I255" s="23"/>
      <c r="J255" s="23"/>
      <c r="K255" s="23"/>
      <c r="L255" s="23"/>
      <c r="M255" s="23"/>
      <c r="N255" s="23"/>
      <c r="O255" s="23"/>
    </row>
    <row r="256" spans="9:15" x14ac:dyDescent="0.25">
      <c r="I256" s="23"/>
      <c r="J256" s="23"/>
      <c r="K256" s="23"/>
      <c r="L256" s="23"/>
      <c r="M256" s="23"/>
      <c r="N256" s="23"/>
      <c r="O256" s="23"/>
    </row>
  </sheetData>
  <mergeCells count="7">
    <mergeCell ref="X155:Y155"/>
    <mergeCell ref="AA155:AB155"/>
    <mergeCell ref="A5:H5"/>
    <mergeCell ref="A6:H6"/>
    <mergeCell ref="A7:H7"/>
    <mergeCell ref="X154:Y154"/>
    <mergeCell ref="AA154:AB154"/>
  </mergeCells>
  <pageMargins left="0.51181102362204722" right="0.23622047244094491" top="0.35433070866141736" bottom="0.74803149606299213" header="0.11811023622047245" footer="0.31496062992125984"/>
  <pageSetup paperSize="5" scale="50" orientation="portrait" r:id="rId1"/>
  <headerFooter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54"/>
  <sheetViews>
    <sheetView topLeftCell="M161" workbookViewId="0">
      <selection activeCell="Q155" sqref="Q155:R189"/>
    </sheetView>
  </sheetViews>
  <sheetFormatPr baseColWidth="10" defaultColWidth="11.42578125" defaultRowHeight="15" x14ac:dyDescent="0.2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3.28515625" customWidth="1"/>
    <col min="6" max="6" width="34.5703125" customWidth="1"/>
    <col min="7" max="7" width="16.7109375" customWidth="1"/>
    <col min="8" max="8" width="14" style="27" customWidth="1"/>
    <col min="9" max="9" width="23.42578125" hidden="1" customWidth="1"/>
    <col min="10" max="10" width="14.28515625" customWidth="1"/>
    <col min="11" max="11" width="14.5703125" customWidth="1"/>
    <col min="12" max="12" width="16.42578125" customWidth="1"/>
    <col min="13" max="13" width="15.42578125" customWidth="1"/>
    <col min="14" max="14" width="13.7109375" customWidth="1"/>
    <col min="15" max="15" width="15.42578125" customWidth="1"/>
    <col min="16" max="16" width="15.28515625" hidden="1" customWidth="1"/>
    <col min="17" max="17" width="40.85546875" customWidth="1"/>
    <col min="18" max="18" width="18.7109375" customWidth="1"/>
    <col min="19" max="19" width="17" customWidth="1"/>
    <col min="20" max="20" width="63.85546875" customWidth="1"/>
    <col min="21" max="21" width="38.140625" customWidth="1"/>
    <col min="22" max="22" width="13.85546875" bestFit="1" customWidth="1"/>
    <col min="23" max="23" width="36.7109375" customWidth="1"/>
    <col min="24" max="24" width="14.140625" bestFit="1" customWidth="1"/>
    <col min="25" max="25" width="87.140625" customWidth="1"/>
    <col min="26" max="26" width="37.5703125" customWidth="1"/>
    <col min="27" max="27" width="19.42578125" customWidth="1"/>
    <col min="28" max="28" width="66.42578125" customWidth="1"/>
    <col min="29" max="29" width="28.5703125" customWidth="1"/>
    <col min="30" max="30" width="19.140625" customWidth="1"/>
    <col min="31" max="32" width="14.140625" bestFit="1" customWidth="1"/>
    <col min="33" max="33" width="19.7109375" customWidth="1"/>
    <col min="35" max="35" width="13.140625" bestFit="1" customWidth="1"/>
    <col min="239" max="239" width="4.85546875" bestFit="1" customWidth="1"/>
    <col min="240" max="240" width="5.85546875" bestFit="1" customWidth="1"/>
    <col min="241" max="241" width="7.42578125" bestFit="1" customWidth="1"/>
    <col min="242" max="242" width="8.140625" bestFit="1" customWidth="1"/>
    <col min="243" max="243" width="4.5703125" bestFit="1" customWidth="1"/>
    <col min="244" max="244" width="57.5703125" customWidth="1"/>
    <col min="245" max="245" width="14.28515625" customWidth="1"/>
    <col min="246" max="246" width="0.85546875" customWidth="1"/>
    <col min="247" max="247" width="16.5703125" bestFit="1" customWidth="1"/>
    <col min="248" max="248" width="13.42578125" bestFit="1" customWidth="1"/>
    <col min="495" max="495" width="4.85546875" bestFit="1" customWidth="1"/>
    <col min="496" max="496" width="5.85546875" bestFit="1" customWidth="1"/>
    <col min="497" max="497" width="7.42578125" bestFit="1" customWidth="1"/>
    <col min="498" max="498" width="8.140625" bestFit="1" customWidth="1"/>
    <col min="499" max="499" width="4.5703125" bestFit="1" customWidth="1"/>
    <col min="500" max="500" width="57.5703125" customWidth="1"/>
    <col min="501" max="501" width="14.28515625" customWidth="1"/>
    <col min="502" max="502" width="0.85546875" customWidth="1"/>
    <col min="503" max="503" width="16.5703125" bestFit="1" customWidth="1"/>
    <col min="504" max="504" width="13.42578125" bestFit="1" customWidth="1"/>
    <col min="751" max="751" width="4.85546875" bestFit="1" customWidth="1"/>
    <col min="752" max="752" width="5.85546875" bestFit="1" customWidth="1"/>
    <col min="753" max="753" width="7.42578125" bestFit="1" customWidth="1"/>
    <col min="754" max="754" width="8.140625" bestFit="1" customWidth="1"/>
    <col min="755" max="755" width="4.5703125" bestFit="1" customWidth="1"/>
    <col min="756" max="756" width="57.5703125" customWidth="1"/>
    <col min="757" max="757" width="14.28515625" customWidth="1"/>
    <col min="758" max="758" width="0.85546875" customWidth="1"/>
    <col min="759" max="759" width="16.5703125" bestFit="1" customWidth="1"/>
    <col min="760" max="760" width="13.42578125" bestFit="1" customWidth="1"/>
    <col min="1007" max="1007" width="4.85546875" bestFit="1" customWidth="1"/>
    <col min="1008" max="1008" width="5.85546875" bestFit="1" customWidth="1"/>
    <col min="1009" max="1009" width="7.42578125" bestFit="1" customWidth="1"/>
    <col min="1010" max="1010" width="8.140625" bestFit="1" customWidth="1"/>
    <col min="1011" max="1011" width="4.5703125" bestFit="1" customWidth="1"/>
    <col min="1012" max="1012" width="57.5703125" customWidth="1"/>
    <col min="1013" max="1013" width="14.28515625" customWidth="1"/>
    <col min="1014" max="1014" width="0.85546875" customWidth="1"/>
    <col min="1015" max="1015" width="16.5703125" bestFit="1" customWidth="1"/>
    <col min="1016" max="1016" width="13.42578125" bestFit="1" customWidth="1"/>
    <col min="1263" max="1263" width="4.85546875" bestFit="1" customWidth="1"/>
    <col min="1264" max="1264" width="5.85546875" bestFit="1" customWidth="1"/>
    <col min="1265" max="1265" width="7.42578125" bestFit="1" customWidth="1"/>
    <col min="1266" max="1266" width="8.140625" bestFit="1" customWidth="1"/>
    <col min="1267" max="1267" width="4.5703125" bestFit="1" customWidth="1"/>
    <col min="1268" max="1268" width="57.5703125" customWidth="1"/>
    <col min="1269" max="1269" width="14.28515625" customWidth="1"/>
    <col min="1270" max="1270" width="0.85546875" customWidth="1"/>
    <col min="1271" max="1271" width="16.5703125" bestFit="1" customWidth="1"/>
    <col min="1272" max="1272" width="13.42578125" bestFit="1" customWidth="1"/>
    <col min="1519" max="1519" width="4.85546875" bestFit="1" customWidth="1"/>
    <col min="1520" max="1520" width="5.85546875" bestFit="1" customWidth="1"/>
    <col min="1521" max="1521" width="7.42578125" bestFit="1" customWidth="1"/>
    <col min="1522" max="1522" width="8.140625" bestFit="1" customWidth="1"/>
    <col min="1523" max="1523" width="4.5703125" bestFit="1" customWidth="1"/>
    <col min="1524" max="1524" width="57.5703125" customWidth="1"/>
    <col min="1525" max="1525" width="14.28515625" customWidth="1"/>
    <col min="1526" max="1526" width="0.85546875" customWidth="1"/>
    <col min="1527" max="1527" width="16.5703125" bestFit="1" customWidth="1"/>
    <col min="1528" max="1528" width="13.42578125" bestFit="1" customWidth="1"/>
    <col min="1775" max="1775" width="4.85546875" bestFit="1" customWidth="1"/>
    <col min="1776" max="1776" width="5.85546875" bestFit="1" customWidth="1"/>
    <col min="1777" max="1777" width="7.42578125" bestFit="1" customWidth="1"/>
    <col min="1778" max="1778" width="8.140625" bestFit="1" customWidth="1"/>
    <col min="1779" max="1779" width="4.5703125" bestFit="1" customWidth="1"/>
    <col min="1780" max="1780" width="57.5703125" customWidth="1"/>
    <col min="1781" max="1781" width="14.28515625" customWidth="1"/>
    <col min="1782" max="1782" width="0.85546875" customWidth="1"/>
    <col min="1783" max="1783" width="16.5703125" bestFit="1" customWidth="1"/>
    <col min="1784" max="1784" width="13.42578125" bestFit="1" customWidth="1"/>
    <col min="2031" max="2031" width="4.85546875" bestFit="1" customWidth="1"/>
    <col min="2032" max="2032" width="5.85546875" bestFit="1" customWidth="1"/>
    <col min="2033" max="2033" width="7.42578125" bestFit="1" customWidth="1"/>
    <col min="2034" max="2034" width="8.140625" bestFit="1" customWidth="1"/>
    <col min="2035" max="2035" width="4.5703125" bestFit="1" customWidth="1"/>
    <col min="2036" max="2036" width="57.5703125" customWidth="1"/>
    <col min="2037" max="2037" width="14.28515625" customWidth="1"/>
    <col min="2038" max="2038" width="0.85546875" customWidth="1"/>
    <col min="2039" max="2039" width="16.5703125" bestFit="1" customWidth="1"/>
    <col min="2040" max="2040" width="13.42578125" bestFit="1" customWidth="1"/>
    <col min="2287" max="2287" width="4.85546875" bestFit="1" customWidth="1"/>
    <col min="2288" max="2288" width="5.85546875" bestFit="1" customWidth="1"/>
    <col min="2289" max="2289" width="7.42578125" bestFit="1" customWidth="1"/>
    <col min="2290" max="2290" width="8.140625" bestFit="1" customWidth="1"/>
    <col min="2291" max="2291" width="4.5703125" bestFit="1" customWidth="1"/>
    <col min="2292" max="2292" width="57.5703125" customWidth="1"/>
    <col min="2293" max="2293" width="14.28515625" customWidth="1"/>
    <col min="2294" max="2294" width="0.85546875" customWidth="1"/>
    <col min="2295" max="2295" width="16.5703125" bestFit="1" customWidth="1"/>
    <col min="2296" max="2296" width="13.42578125" bestFit="1" customWidth="1"/>
    <col min="2543" max="2543" width="4.85546875" bestFit="1" customWidth="1"/>
    <col min="2544" max="2544" width="5.85546875" bestFit="1" customWidth="1"/>
    <col min="2545" max="2545" width="7.42578125" bestFit="1" customWidth="1"/>
    <col min="2546" max="2546" width="8.140625" bestFit="1" customWidth="1"/>
    <col min="2547" max="2547" width="4.5703125" bestFit="1" customWidth="1"/>
    <col min="2548" max="2548" width="57.5703125" customWidth="1"/>
    <col min="2549" max="2549" width="14.28515625" customWidth="1"/>
    <col min="2550" max="2550" width="0.85546875" customWidth="1"/>
    <col min="2551" max="2551" width="16.5703125" bestFit="1" customWidth="1"/>
    <col min="2552" max="2552" width="13.42578125" bestFit="1" customWidth="1"/>
    <col min="2799" max="2799" width="4.85546875" bestFit="1" customWidth="1"/>
    <col min="2800" max="2800" width="5.85546875" bestFit="1" customWidth="1"/>
    <col min="2801" max="2801" width="7.42578125" bestFit="1" customWidth="1"/>
    <col min="2802" max="2802" width="8.140625" bestFit="1" customWidth="1"/>
    <col min="2803" max="2803" width="4.5703125" bestFit="1" customWidth="1"/>
    <col min="2804" max="2804" width="57.5703125" customWidth="1"/>
    <col min="2805" max="2805" width="14.28515625" customWidth="1"/>
    <col min="2806" max="2806" width="0.85546875" customWidth="1"/>
    <col min="2807" max="2807" width="16.5703125" bestFit="1" customWidth="1"/>
    <col min="2808" max="2808" width="13.42578125" bestFit="1" customWidth="1"/>
    <col min="3055" max="3055" width="4.85546875" bestFit="1" customWidth="1"/>
    <col min="3056" max="3056" width="5.85546875" bestFit="1" customWidth="1"/>
    <col min="3057" max="3057" width="7.42578125" bestFit="1" customWidth="1"/>
    <col min="3058" max="3058" width="8.140625" bestFit="1" customWidth="1"/>
    <col min="3059" max="3059" width="4.5703125" bestFit="1" customWidth="1"/>
    <col min="3060" max="3060" width="57.5703125" customWidth="1"/>
    <col min="3061" max="3061" width="14.28515625" customWidth="1"/>
    <col min="3062" max="3062" width="0.85546875" customWidth="1"/>
    <col min="3063" max="3063" width="16.5703125" bestFit="1" customWidth="1"/>
    <col min="3064" max="3064" width="13.42578125" bestFit="1" customWidth="1"/>
    <col min="3311" max="3311" width="4.85546875" bestFit="1" customWidth="1"/>
    <col min="3312" max="3312" width="5.85546875" bestFit="1" customWidth="1"/>
    <col min="3313" max="3313" width="7.42578125" bestFit="1" customWidth="1"/>
    <col min="3314" max="3314" width="8.140625" bestFit="1" customWidth="1"/>
    <col min="3315" max="3315" width="4.5703125" bestFit="1" customWidth="1"/>
    <col min="3316" max="3316" width="57.5703125" customWidth="1"/>
    <col min="3317" max="3317" width="14.28515625" customWidth="1"/>
    <col min="3318" max="3318" width="0.85546875" customWidth="1"/>
    <col min="3319" max="3319" width="16.5703125" bestFit="1" customWidth="1"/>
    <col min="3320" max="3320" width="13.42578125" bestFit="1" customWidth="1"/>
    <col min="3567" max="3567" width="4.85546875" bestFit="1" customWidth="1"/>
    <col min="3568" max="3568" width="5.85546875" bestFit="1" customWidth="1"/>
    <col min="3569" max="3569" width="7.42578125" bestFit="1" customWidth="1"/>
    <col min="3570" max="3570" width="8.140625" bestFit="1" customWidth="1"/>
    <col min="3571" max="3571" width="4.5703125" bestFit="1" customWidth="1"/>
    <col min="3572" max="3572" width="57.5703125" customWidth="1"/>
    <col min="3573" max="3573" width="14.28515625" customWidth="1"/>
    <col min="3574" max="3574" width="0.85546875" customWidth="1"/>
    <col min="3575" max="3575" width="16.5703125" bestFit="1" customWidth="1"/>
    <col min="3576" max="3576" width="13.42578125" bestFit="1" customWidth="1"/>
    <col min="3823" max="3823" width="4.85546875" bestFit="1" customWidth="1"/>
    <col min="3824" max="3824" width="5.85546875" bestFit="1" customWidth="1"/>
    <col min="3825" max="3825" width="7.42578125" bestFit="1" customWidth="1"/>
    <col min="3826" max="3826" width="8.140625" bestFit="1" customWidth="1"/>
    <col min="3827" max="3827" width="4.5703125" bestFit="1" customWidth="1"/>
    <col min="3828" max="3828" width="57.5703125" customWidth="1"/>
    <col min="3829" max="3829" width="14.28515625" customWidth="1"/>
    <col min="3830" max="3830" width="0.85546875" customWidth="1"/>
    <col min="3831" max="3831" width="16.5703125" bestFit="1" customWidth="1"/>
    <col min="3832" max="3832" width="13.42578125" bestFit="1" customWidth="1"/>
    <col min="4079" max="4079" width="4.85546875" bestFit="1" customWidth="1"/>
    <col min="4080" max="4080" width="5.85546875" bestFit="1" customWidth="1"/>
    <col min="4081" max="4081" width="7.42578125" bestFit="1" customWidth="1"/>
    <col min="4082" max="4082" width="8.140625" bestFit="1" customWidth="1"/>
    <col min="4083" max="4083" width="4.5703125" bestFit="1" customWidth="1"/>
    <col min="4084" max="4084" width="57.5703125" customWidth="1"/>
    <col min="4085" max="4085" width="14.28515625" customWidth="1"/>
    <col min="4086" max="4086" width="0.85546875" customWidth="1"/>
    <col min="4087" max="4087" width="16.5703125" bestFit="1" customWidth="1"/>
    <col min="4088" max="4088" width="13.42578125" bestFit="1" customWidth="1"/>
    <col min="4335" max="4335" width="4.85546875" bestFit="1" customWidth="1"/>
    <col min="4336" max="4336" width="5.85546875" bestFit="1" customWidth="1"/>
    <col min="4337" max="4337" width="7.42578125" bestFit="1" customWidth="1"/>
    <col min="4338" max="4338" width="8.140625" bestFit="1" customWidth="1"/>
    <col min="4339" max="4339" width="4.5703125" bestFit="1" customWidth="1"/>
    <col min="4340" max="4340" width="57.5703125" customWidth="1"/>
    <col min="4341" max="4341" width="14.28515625" customWidth="1"/>
    <col min="4342" max="4342" width="0.85546875" customWidth="1"/>
    <col min="4343" max="4343" width="16.5703125" bestFit="1" customWidth="1"/>
    <col min="4344" max="4344" width="13.42578125" bestFit="1" customWidth="1"/>
    <col min="4591" max="4591" width="4.85546875" bestFit="1" customWidth="1"/>
    <col min="4592" max="4592" width="5.85546875" bestFit="1" customWidth="1"/>
    <col min="4593" max="4593" width="7.42578125" bestFit="1" customWidth="1"/>
    <col min="4594" max="4594" width="8.140625" bestFit="1" customWidth="1"/>
    <col min="4595" max="4595" width="4.5703125" bestFit="1" customWidth="1"/>
    <col min="4596" max="4596" width="57.5703125" customWidth="1"/>
    <col min="4597" max="4597" width="14.28515625" customWidth="1"/>
    <col min="4598" max="4598" width="0.85546875" customWidth="1"/>
    <col min="4599" max="4599" width="16.5703125" bestFit="1" customWidth="1"/>
    <col min="4600" max="4600" width="13.42578125" bestFit="1" customWidth="1"/>
    <col min="4847" max="4847" width="4.85546875" bestFit="1" customWidth="1"/>
    <col min="4848" max="4848" width="5.85546875" bestFit="1" customWidth="1"/>
    <col min="4849" max="4849" width="7.42578125" bestFit="1" customWidth="1"/>
    <col min="4850" max="4850" width="8.140625" bestFit="1" customWidth="1"/>
    <col min="4851" max="4851" width="4.5703125" bestFit="1" customWidth="1"/>
    <col min="4852" max="4852" width="57.5703125" customWidth="1"/>
    <col min="4853" max="4853" width="14.28515625" customWidth="1"/>
    <col min="4854" max="4854" width="0.85546875" customWidth="1"/>
    <col min="4855" max="4855" width="16.5703125" bestFit="1" customWidth="1"/>
    <col min="4856" max="4856" width="13.42578125" bestFit="1" customWidth="1"/>
    <col min="5103" max="5103" width="4.85546875" bestFit="1" customWidth="1"/>
    <col min="5104" max="5104" width="5.85546875" bestFit="1" customWidth="1"/>
    <col min="5105" max="5105" width="7.42578125" bestFit="1" customWidth="1"/>
    <col min="5106" max="5106" width="8.140625" bestFit="1" customWidth="1"/>
    <col min="5107" max="5107" width="4.5703125" bestFit="1" customWidth="1"/>
    <col min="5108" max="5108" width="57.5703125" customWidth="1"/>
    <col min="5109" max="5109" width="14.28515625" customWidth="1"/>
    <col min="5110" max="5110" width="0.85546875" customWidth="1"/>
    <col min="5111" max="5111" width="16.5703125" bestFit="1" customWidth="1"/>
    <col min="5112" max="5112" width="13.42578125" bestFit="1" customWidth="1"/>
    <col min="5359" max="5359" width="4.85546875" bestFit="1" customWidth="1"/>
    <col min="5360" max="5360" width="5.85546875" bestFit="1" customWidth="1"/>
    <col min="5361" max="5361" width="7.42578125" bestFit="1" customWidth="1"/>
    <col min="5362" max="5362" width="8.140625" bestFit="1" customWidth="1"/>
    <col min="5363" max="5363" width="4.5703125" bestFit="1" customWidth="1"/>
    <col min="5364" max="5364" width="57.5703125" customWidth="1"/>
    <col min="5365" max="5365" width="14.28515625" customWidth="1"/>
    <col min="5366" max="5366" width="0.85546875" customWidth="1"/>
    <col min="5367" max="5367" width="16.5703125" bestFit="1" customWidth="1"/>
    <col min="5368" max="5368" width="13.42578125" bestFit="1" customWidth="1"/>
    <col min="5615" max="5615" width="4.85546875" bestFit="1" customWidth="1"/>
    <col min="5616" max="5616" width="5.85546875" bestFit="1" customWidth="1"/>
    <col min="5617" max="5617" width="7.42578125" bestFit="1" customWidth="1"/>
    <col min="5618" max="5618" width="8.140625" bestFit="1" customWidth="1"/>
    <col min="5619" max="5619" width="4.5703125" bestFit="1" customWidth="1"/>
    <col min="5620" max="5620" width="57.5703125" customWidth="1"/>
    <col min="5621" max="5621" width="14.28515625" customWidth="1"/>
    <col min="5622" max="5622" width="0.85546875" customWidth="1"/>
    <col min="5623" max="5623" width="16.5703125" bestFit="1" customWidth="1"/>
    <col min="5624" max="5624" width="13.42578125" bestFit="1" customWidth="1"/>
    <col min="5871" max="5871" width="4.85546875" bestFit="1" customWidth="1"/>
    <col min="5872" max="5872" width="5.85546875" bestFit="1" customWidth="1"/>
    <col min="5873" max="5873" width="7.42578125" bestFit="1" customWidth="1"/>
    <col min="5874" max="5874" width="8.140625" bestFit="1" customWidth="1"/>
    <col min="5875" max="5875" width="4.5703125" bestFit="1" customWidth="1"/>
    <col min="5876" max="5876" width="57.5703125" customWidth="1"/>
    <col min="5877" max="5877" width="14.28515625" customWidth="1"/>
    <col min="5878" max="5878" width="0.85546875" customWidth="1"/>
    <col min="5879" max="5879" width="16.5703125" bestFit="1" customWidth="1"/>
    <col min="5880" max="5880" width="13.42578125" bestFit="1" customWidth="1"/>
    <col min="6127" max="6127" width="4.85546875" bestFit="1" customWidth="1"/>
    <col min="6128" max="6128" width="5.85546875" bestFit="1" customWidth="1"/>
    <col min="6129" max="6129" width="7.42578125" bestFit="1" customWidth="1"/>
    <col min="6130" max="6130" width="8.140625" bestFit="1" customWidth="1"/>
    <col min="6131" max="6131" width="4.5703125" bestFit="1" customWidth="1"/>
    <col min="6132" max="6132" width="57.5703125" customWidth="1"/>
    <col min="6133" max="6133" width="14.28515625" customWidth="1"/>
    <col min="6134" max="6134" width="0.85546875" customWidth="1"/>
    <col min="6135" max="6135" width="16.5703125" bestFit="1" customWidth="1"/>
    <col min="6136" max="6136" width="13.42578125" bestFit="1" customWidth="1"/>
    <col min="6383" max="6383" width="4.85546875" bestFit="1" customWidth="1"/>
    <col min="6384" max="6384" width="5.85546875" bestFit="1" customWidth="1"/>
    <col min="6385" max="6385" width="7.42578125" bestFit="1" customWidth="1"/>
    <col min="6386" max="6386" width="8.140625" bestFit="1" customWidth="1"/>
    <col min="6387" max="6387" width="4.5703125" bestFit="1" customWidth="1"/>
    <col min="6388" max="6388" width="57.5703125" customWidth="1"/>
    <col min="6389" max="6389" width="14.28515625" customWidth="1"/>
    <col min="6390" max="6390" width="0.85546875" customWidth="1"/>
    <col min="6391" max="6391" width="16.5703125" bestFit="1" customWidth="1"/>
    <col min="6392" max="6392" width="13.42578125" bestFit="1" customWidth="1"/>
    <col min="6639" max="6639" width="4.85546875" bestFit="1" customWidth="1"/>
    <col min="6640" max="6640" width="5.85546875" bestFit="1" customWidth="1"/>
    <col min="6641" max="6641" width="7.42578125" bestFit="1" customWidth="1"/>
    <col min="6642" max="6642" width="8.140625" bestFit="1" customWidth="1"/>
    <col min="6643" max="6643" width="4.5703125" bestFit="1" customWidth="1"/>
    <col min="6644" max="6644" width="57.5703125" customWidth="1"/>
    <col min="6645" max="6645" width="14.28515625" customWidth="1"/>
    <col min="6646" max="6646" width="0.85546875" customWidth="1"/>
    <col min="6647" max="6647" width="16.5703125" bestFit="1" customWidth="1"/>
    <col min="6648" max="6648" width="13.42578125" bestFit="1" customWidth="1"/>
    <col min="6895" max="6895" width="4.85546875" bestFit="1" customWidth="1"/>
    <col min="6896" max="6896" width="5.85546875" bestFit="1" customWidth="1"/>
    <col min="6897" max="6897" width="7.42578125" bestFit="1" customWidth="1"/>
    <col min="6898" max="6898" width="8.140625" bestFit="1" customWidth="1"/>
    <col min="6899" max="6899" width="4.5703125" bestFit="1" customWidth="1"/>
    <col min="6900" max="6900" width="57.5703125" customWidth="1"/>
    <col min="6901" max="6901" width="14.28515625" customWidth="1"/>
    <col min="6902" max="6902" width="0.85546875" customWidth="1"/>
    <col min="6903" max="6903" width="16.5703125" bestFit="1" customWidth="1"/>
    <col min="6904" max="6904" width="13.42578125" bestFit="1" customWidth="1"/>
    <col min="7151" max="7151" width="4.85546875" bestFit="1" customWidth="1"/>
    <col min="7152" max="7152" width="5.85546875" bestFit="1" customWidth="1"/>
    <col min="7153" max="7153" width="7.42578125" bestFit="1" customWidth="1"/>
    <col min="7154" max="7154" width="8.140625" bestFit="1" customWidth="1"/>
    <col min="7155" max="7155" width="4.5703125" bestFit="1" customWidth="1"/>
    <col min="7156" max="7156" width="57.5703125" customWidth="1"/>
    <col min="7157" max="7157" width="14.28515625" customWidth="1"/>
    <col min="7158" max="7158" width="0.85546875" customWidth="1"/>
    <col min="7159" max="7159" width="16.5703125" bestFit="1" customWidth="1"/>
    <col min="7160" max="7160" width="13.42578125" bestFit="1" customWidth="1"/>
    <col min="7407" max="7407" width="4.85546875" bestFit="1" customWidth="1"/>
    <col min="7408" max="7408" width="5.85546875" bestFit="1" customWidth="1"/>
    <col min="7409" max="7409" width="7.42578125" bestFit="1" customWidth="1"/>
    <col min="7410" max="7410" width="8.140625" bestFit="1" customWidth="1"/>
    <col min="7411" max="7411" width="4.5703125" bestFit="1" customWidth="1"/>
    <col min="7412" max="7412" width="57.5703125" customWidth="1"/>
    <col min="7413" max="7413" width="14.28515625" customWidth="1"/>
    <col min="7414" max="7414" width="0.85546875" customWidth="1"/>
    <col min="7415" max="7415" width="16.5703125" bestFit="1" customWidth="1"/>
    <col min="7416" max="7416" width="13.42578125" bestFit="1" customWidth="1"/>
    <col min="7663" max="7663" width="4.85546875" bestFit="1" customWidth="1"/>
    <col min="7664" max="7664" width="5.85546875" bestFit="1" customWidth="1"/>
    <col min="7665" max="7665" width="7.42578125" bestFit="1" customWidth="1"/>
    <col min="7666" max="7666" width="8.140625" bestFit="1" customWidth="1"/>
    <col min="7667" max="7667" width="4.5703125" bestFit="1" customWidth="1"/>
    <col min="7668" max="7668" width="57.5703125" customWidth="1"/>
    <col min="7669" max="7669" width="14.28515625" customWidth="1"/>
    <col min="7670" max="7670" width="0.85546875" customWidth="1"/>
    <col min="7671" max="7671" width="16.5703125" bestFit="1" customWidth="1"/>
    <col min="7672" max="7672" width="13.42578125" bestFit="1" customWidth="1"/>
    <col min="7919" max="7919" width="4.85546875" bestFit="1" customWidth="1"/>
    <col min="7920" max="7920" width="5.85546875" bestFit="1" customWidth="1"/>
    <col min="7921" max="7921" width="7.42578125" bestFit="1" customWidth="1"/>
    <col min="7922" max="7922" width="8.140625" bestFit="1" customWidth="1"/>
    <col min="7923" max="7923" width="4.5703125" bestFit="1" customWidth="1"/>
    <col min="7924" max="7924" width="57.5703125" customWidth="1"/>
    <col min="7925" max="7925" width="14.28515625" customWidth="1"/>
    <col min="7926" max="7926" width="0.85546875" customWidth="1"/>
    <col min="7927" max="7927" width="16.5703125" bestFit="1" customWidth="1"/>
    <col min="7928" max="7928" width="13.42578125" bestFit="1" customWidth="1"/>
    <col min="8175" max="8175" width="4.85546875" bestFit="1" customWidth="1"/>
    <col min="8176" max="8176" width="5.85546875" bestFit="1" customWidth="1"/>
    <col min="8177" max="8177" width="7.42578125" bestFit="1" customWidth="1"/>
    <col min="8178" max="8178" width="8.140625" bestFit="1" customWidth="1"/>
    <col min="8179" max="8179" width="4.5703125" bestFit="1" customWidth="1"/>
    <col min="8180" max="8180" width="57.5703125" customWidth="1"/>
    <col min="8181" max="8181" width="14.28515625" customWidth="1"/>
    <col min="8182" max="8182" width="0.85546875" customWidth="1"/>
    <col min="8183" max="8183" width="16.5703125" bestFit="1" customWidth="1"/>
    <col min="8184" max="8184" width="13.42578125" bestFit="1" customWidth="1"/>
    <col min="8431" max="8431" width="4.85546875" bestFit="1" customWidth="1"/>
    <col min="8432" max="8432" width="5.85546875" bestFit="1" customWidth="1"/>
    <col min="8433" max="8433" width="7.42578125" bestFit="1" customWidth="1"/>
    <col min="8434" max="8434" width="8.140625" bestFit="1" customWidth="1"/>
    <col min="8435" max="8435" width="4.5703125" bestFit="1" customWidth="1"/>
    <col min="8436" max="8436" width="57.5703125" customWidth="1"/>
    <col min="8437" max="8437" width="14.28515625" customWidth="1"/>
    <col min="8438" max="8438" width="0.85546875" customWidth="1"/>
    <col min="8439" max="8439" width="16.5703125" bestFit="1" customWidth="1"/>
    <col min="8440" max="8440" width="13.42578125" bestFit="1" customWidth="1"/>
    <col min="8687" max="8687" width="4.85546875" bestFit="1" customWidth="1"/>
    <col min="8688" max="8688" width="5.85546875" bestFit="1" customWidth="1"/>
    <col min="8689" max="8689" width="7.42578125" bestFit="1" customWidth="1"/>
    <col min="8690" max="8690" width="8.140625" bestFit="1" customWidth="1"/>
    <col min="8691" max="8691" width="4.5703125" bestFit="1" customWidth="1"/>
    <col min="8692" max="8692" width="57.5703125" customWidth="1"/>
    <col min="8693" max="8693" width="14.28515625" customWidth="1"/>
    <col min="8694" max="8694" width="0.85546875" customWidth="1"/>
    <col min="8695" max="8695" width="16.5703125" bestFit="1" customWidth="1"/>
    <col min="8696" max="8696" width="13.42578125" bestFit="1" customWidth="1"/>
    <col min="8943" max="8943" width="4.85546875" bestFit="1" customWidth="1"/>
    <col min="8944" max="8944" width="5.85546875" bestFit="1" customWidth="1"/>
    <col min="8945" max="8945" width="7.42578125" bestFit="1" customWidth="1"/>
    <col min="8946" max="8946" width="8.140625" bestFit="1" customWidth="1"/>
    <col min="8947" max="8947" width="4.5703125" bestFit="1" customWidth="1"/>
    <col min="8948" max="8948" width="57.5703125" customWidth="1"/>
    <col min="8949" max="8949" width="14.28515625" customWidth="1"/>
    <col min="8950" max="8950" width="0.85546875" customWidth="1"/>
    <col min="8951" max="8951" width="16.5703125" bestFit="1" customWidth="1"/>
    <col min="8952" max="8952" width="13.42578125" bestFit="1" customWidth="1"/>
    <col min="9199" max="9199" width="4.85546875" bestFit="1" customWidth="1"/>
    <col min="9200" max="9200" width="5.85546875" bestFit="1" customWidth="1"/>
    <col min="9201" max="9201" width="7.42578125" bestFit="1" customWidth="1"/>
    <col min="9202" max="9202" width="8.140625" bestFit="1" customWidth="1"/>
    <col min="9203" max="9203" width="4.5703125" bestFit="1" customWidth="1"/>
    <col min="9204" max="9204" width="57.5703125" customWidth="1"/>
    <col min="9205" max="9205" width="14.28515625" customWidth="1"/>
    <col min="9206" max="9206" width="0.85546875" customWidth="1"/>
    <col min="9207" max="9207" width="16.5703125" bestFit="1" customWidth="1"/>
    <col min="9208" max="9208" width="13.42578125" bestFit="1" customWidth="1"/>
    <col min="9455" max="9455" width="4.85546875" bestFit="1" customWidth="1"/>
    <col min="9456" max="9456" width="5.85546875" bestFit="1" customWidth="1"/>
    <col min="9457" max="9457" width="7.42578125" bestFit="1" customWidth="1"/>
    <col min="9458" max="9458" width="8.140625" bestFit="1" customWidth="1"/>
    <col min="9459" max="9459" width="4.5703125" bestFit="1" customWidth="1"/>
    <col min="9460" max="9460" width="57.5703125" customWidth="1"/>
    <col min="9461" max="9461" width="14.28515625" customWidth="1"/>
    <col min="9462" max="9462" width="0.85546875" customWidth="1"/>
    <col min="9463" max="9463" width="16.5703125" bestFit="1" customWidth="1"/>
    <col min="9464" max="9464" width="13.42578125" bestFit="1" customWidth="1"/>
    <col min="9711" max="9711" width="4.85546875" bestFit="1" customWidth="1"/>
    <col min="9712" max="9712" width="5.85546875" bestFit="1" customWidth="1"/>
    <col min="9713" max="9713" width="7.42578125" bestFit="1" customWidth="1"/>
    <col min="9714" max="9714" width="8.140625" bestFit="1" customWidth="1"/>
    <col min="9715" max="9715" width="4.5703125" bestFit="1" customWidth="1"/>
    <col min="9716" max="9716" width="57.5703125" customWidth="1"/>
    <col min="9717" max="9717" width="14.28515625" customWidth="1"/>
    <col min="9718" max="9718" width="0.85546875" customWidth="1"/>
    <col min="9719" max="9719" width="16.5703125" bestFit="1" customWidth="1"/>
    <col min="9720" max="9720" width="13.42578125" bestFit="1" customWidth="1"/>
    <col min="9967" max="9967" width="4.85546875" bestFit="1" customWidth="1"/>
    <col min="9968" max="9968" width="5.85546875" bestFit="1" customWidth="1"/>
    <col min="9969" max="9969" width="7.42578125" bestFit="1" customWidth="1"/>
    <col min="9970" max="9970" width="8.140625" bestFit="1" customWidth="1"/>
    <col min="9971" max="9971" width="4.5703125" bestFit="1" customWidth="1"/>
    <col min="9972" max="9972" width="57.5703125" customWidth="1"/>
    <col min="9973" max="9973" width="14.28515625" customWidth="1"/>
    <col min="9974" max="9974" width="0.85546875" customWidth="1"/>
    <col min="9975" max="9975" width="16.5703125" bestFit="1" customWidth="1"/>
    <col min="9976" max="9976" width="13.42578125" bestFit="1" customWidth="1"/>
    <col min="10223" max="10223" width="4.85546875" bestFit="1" customWidth="1"/>
    <col min="10224" max="10224" width="5.85546875" bestFit="1" customWidth="1"/>
    <col min="10225" max="10225" width="7.42578125" bestFit="1" customWidth="1"/>
    <col min="10226" max="10226" width="8.140625" bestFit="1" customWidth="1"/>
    <col min="10227" max="10227" width="4.5703125" bestFit="1" customWidth="1"/>
    <col min="10228" max="10228" width="57.5703125" customWidth="1"/>
    <col min="10229" max="10229" width="14.28515625" customWidth="1"/>
    <col min="10230" max="10230" width="0.85546875" customWidth="1"/>
    <col min="10231" max="10231" width="16.5703125" bestFit="1" customWidth="1"/>
    <col min="10232" max="10232" width="13.42578125" bestFit="1" customWidth="1"/>
    <col min="10479" max="10479" width="4.85546875" bestFit="1" customWidth="1"/>
    <col min="10480" max="10480" width="5.85546875" bestFit="1" customWidth="1"/>
    <col min="10481" max="10481" width="7.42578125" bestFit="1" customWidth="1"/>
    <col min="10482" max="10482" width="8.140625" bestFit="1" customWidth="1"/>
    <col min="10483" max="10483" width="4.5703125" bestFit="1" customWidth="1"/>
    <col min="10484" max="10484" width="57.5703125" customWidth="1"/>
    <col min="10485" max="10485" width="14.28515625" customWidth="1"/>
    <col min="10486" max="10486" width="0.85546875" customWidth="1"/>
    <col min="10487" max="10487" width="16.5703125" bestFit="1" customWidth="1"/>
    <col min="10488" max="10488" width="13.42578125" bestFit="1" customWidth="1"/>
    <col min="10735" max="10735" width="4.85546875" bestFit="1" customWidth="1"/>
    <col min="10736" max="10736" width="5.85546875" bestFit="1" customWidth="1"/>
    <col min="10737" max="10737" width="7.42578125" bestFit="1" customWidth="1"/>
    <col min="10738" max="10738" width="8.140625" bestFit="1" customWidth="1"/>
    <col min="10739" max="10739" width="4.5703125" bestFit="1" customWidth="1"/>
    <col min="10740" max="10740" width="57.5703125" customWidth="1"/>
    <col min="10741" max="10741" width="14.28515625" customWidth="1"/>
    <col min="10742" max="10742" width="0.85546875" customWidth="1"/>
    <col min="10743" max="10743" width="16.5703125" bestFit="1" customWidth="1"/>
    <col min="10744" max="10744" width="13.42578125" bestFit="1" customWidth="1"/>
    <col min="10991" max="10991" width="4.85546875" bestFit="1" customWidth="1"/>
    <col min="10992" max="10992" width="5.85546875" bestFit="1" customWidth="1"/>
    <col min="10993" max="10993" width="7.42578125" bestFit="1" customWidth="1"/>
    <col min="10994" max="10994" width="8.140625" bestFit="1" customWidth="1"/>
    <col min="10995" max="10995" width="4.5703125" bestFit="1" customWidth="1"/>
    <col min="10996" max="10996" width="57.5703125" customWidth="1"/>
    <col min="10997" max="10997" width="14.28515625" customWidth="1"/>
    <col min="10998" max="10998" width="0.85546875" customWidth="1"/>
    <col min="10999" max="10999" width="16.5703125" bestFit="1" customWidth="1"/>
    <col min="11000" max="11000" width="13.42578125" bestFit="1" customWidth="1"/>
    <col min="11247" max="11247" width="4.85546875" bestFit="1" customWidth="1"/>
    <col min="11248" max="11248" width="5.85546875" bestFit="1" customWidth="1"/>
    <col min="11249" max="11249" width="7.42578125" bestFit="1" customWidth="1"/>
    <col min="11250" max="11250" width="8.140625" bestFit="1" customWidth="1"/>
    <col min="11251" max="11251" width="4.5703125" bestFit="1" customWidth="1"/>
    <col min="11252" max="11252" width="57.5703125" customWidth="1"/>
    <col min="11253" max="11253" width="14.28515625" customWidth="1"/>
    <col min="11254" max="11254" width="0.85546875" customWidth="1"/>
    <col min="11255" max="11255" width="16.5703125" bestFit="1" customWidth="1"/>
    <col min="11256" max="11256" width="13.42578125" bestFit="1" customWidth="1"/>
    <col min="11503" max="11503" width="4.85546875" bestFit="1" customWidth="1"/>
    <col min="11504" max="11504" width="5.85546875" bestFit="1" customWidth="1"/>
    <col min="11505" max="11505" width="7.42578125" bestFit="1" customWidth="1"/>
    <col min="11506" max="11506" width="8.140625" bestFit="1" customWidth="1"/>
    <col min="11507" max="11507" width="4.5703125" bestFit="1" customWidth="1"/>
    <col min="11508" max="11508" width="57.5703125" customWidth="1"/>
    <col min="11509" max="11509" width="14.28515625" customWidth="1"/>
    <col min="11510" max="11510" width="0.85546875" customWidth="1"/>
    <col min="11511" max="11511" width="16.5703125" bestFit="1" customWidth="1"/>
    <col min="11512" max="11512" width="13.42578125" bestFit="1" customWidth="1"/>
    <col min="11759" max="11759" width="4.85546875" bestFit="1" customWidth="1"/>
    <col min="11760" max="11760" width="5.85546875" bestFit="1" customWidth="1"/>
    <col min="11761" max="11761" width="7.42578125" bestFit="1" customWidth="1"/>
    <col min="11762" max="11762" width="8.140625" bestFit="1" customWidth="1"/>
    <col min="11763" max="11763" width="4.5703125" bestFit="1" customWidth="1"/>
    <col min="11764" max="11764" width="57.5703125" customWidth="1"/>
    <col min="11765" max="11765" width="14.28515625" customWidth="1"/>
    <col min="11766" max="11766" width="0.85546875" customWidth="1"/>
    <col min="11767" max="11767" width="16.5703125" bestFit="1" customWidth="1"/>
    <col min="11768" max="11768" width="13.42578125" bestFit="1" customWidth="1"/>
    <col min="12015" max="12015" width="4.85546875" bestFit="1" customWidth="1"/>
    <col min="12016" max="12016" width="5.85546875" bestFit="1" customWidth="1"/>
    <col min="12017" max="12017" width="7.42578125" bestFit="1" customWidth="1"/>
    <col min="12018" max="12018" width="8.140625" bestFit="1" customWidth="1"/>
    <col min="12019" max="12019" width="4.5703125" bestFit="1" customWidth="1"/>
    <col min="12020" max="12020" width="57.5703125" customWidth="1"/>
    <col min="12021" max="12021" width="14.28515625" customWidth="1"/>
    <col min="12022" max="12022" width="0.85546875" customWidth="1"/>
    <col min="12023" max="12023" width="16.5703125" bestFit="1" customWidth="1"/>
    <col min="12024" max="12024" width="13.42578125" bestFit="1" customWidth="1"/>
    <col min="12271" max="12271" width="4.85546875" bestFit="1" customWidth="1"/>
    <col min="12272" max="12272" width="5.85546875" bestFit="1" customWidth="1"/>
    <col min="12273" max="12273" width="7.42578125" bestFit="1" customWidth="1"/>
    <col min="12274" max="12274" width="8.140625" bestFit="1" customWidth="1"/>
    <col min="12275" max="12275" width="4.5703125" bestFit="1" customWidth="1"/>
    <col min="12276" max="12276" width="57.5703125" customWidth="1"/>
    <col min="12277" max="12277" width="14.28515625" customWidth="1"/>
    <col min="12278" max="12278" width="0.85546875" customWidth="1"/>
    <col min="12279" max="12279" width="16.5703125" bestFit="1" customWidth="1"/>
    <col min="12280" max="12280" width="13.42578125" bestFit="1" customWidth="1"/>
    <col min="12527" max="12527" width="4.85546875" bestFit="1" customWidth="1"/>
    <col min="12528" max="12528" width="5.85546875" bestFit="1" customWidth="1"/>
    <col min="12529" max="12529" width="7.42578125" bestFit="1" customWidth="1"/>
    <col min="12530" max="12530" width="8.140625" bestFit="1" customWidth="1"/>
    <col min="12531" max="12531" width="4.5703125" bestFit="1" customWidth="1"/>
    <col min="12532" max="12532" width="57.5703125" customWidth="1"/>
    <col min="12533" max="12533" width="14.28515625" customWidth="1"/>
    <col min="12534" max="12534" width="0.85546875" customWidth="1"/>
    <col min="12535" max="12535" width="16.5703125" bestFit="1" customWidth="1"/>
    <col min="12536" max="12536" width="13.42578125" bestFit="1" customWidth="1"/>
    <col min="12783" max="12783" width="4.85546875" bestFit="1" customWidth="1"/>
    <col min="12784" max="12784" width="5.85546875" bestFit="1" customWidth="1"/>
    <col min="12785" max="12785" width="7.42578125" bestFit="1" customWidth="1"/>
    <col min="12786" max="12786" width="8.140625" bestFit="1" customWidth="1"/>
    <col min="12787" max="12787" width="4.5703125" bestFit="1" customWidth="1"/>
    <col min="12788" max="12788" width="57.5703125" customWidth="1"/>
    <col min="12789" max="12789" width="14.28515625" customWidth="1"/>
    <col min="12790" max="12790" width="0.85546875" customWidth="1"/>
    <col min="12791" max="12791" width="16.5703125" bestFit="1" customWidth="1"/>
    <col min="12792" max="12792" width="13.42578125" bestFit="1" customWidth="1"/>
    <col min="13039" max="13039" width="4.85546875" bestFit="1" customWidth="1"/>
    <col min="13040" max="13040" width="5.85546875" bestFit="1" customWidth="1"/>
    <col min="13041" max="13041" width="7.42578125" bestFit="1" customWidth="1"/>
    <col min="13042" max="13042" width="8.140625" bestFit="1" customWidth="1"/>
    <col min="13043" max="13043" width="4.5703125" bestFit="1" customWidth="1"/>
    <col min="13044" max="13044" width="57.5703125" customWidth="1"/>
    <col min="13045" max="13045" width="14.28515625" customWidth="1"/>
    <col min="13046" max="13046" width="0.85546875" customWidth="1"/>
    <col min="13047" max="13047" width="16.5703125" bestFit="1" customWidth="1"/>
    <col min="13048" max="13048" width="13.42578125" bestFit="1" customWidth="1"/>
    <col min="13295" max="13295" width="4.85546875" bestFit="1" customWidth="1"/>
    <col min="13296" max="13296" width="5.85546875" bestFit="1" customWidth="1"/>
    <col min="13297" max="13297" width="7.42578125" bestFit="1" customWidth="1"/>
    <col min="13298" max="13298" width="8.140625" bestFit="1" customWidth="1"/>
    <col min="13299" max="13299" width="4.5703125" bestFit="1" customWidth="1"/>
    <col min="13300" max="13300" width="57.5703125" customWidth="1"/>
    <col min="13301" max="13301" width="14.28515625" customWidth="1"/>
    <col min="13302" max="13302" width="0.85546875" customWidth="1"/>
    <col min="13303" max="13303" width="16.5703125" bestFit="1" customWidth="1"/>
    <col min="13304" max="13304" width="13.42578125" bestFit="1" customWidth="1"/>
    <col min="13551" max="13551" width="4.85546875" bestFit="1" customWidth="1"/>
    <col min="13552" max="13552" width="5.85546875" bestFit="1" customWidth="1"/>
    <col min="13553" max="13553" width="7.42578125" bestFit="1" customWidth="1"/>
    <col min="13554" max="13554" width="8.140625" bestFit="1" customWidth="1"/>
    <col min="13555" max="13555" width="4.5703125" bestFit="1" customWidth="1"/>
    <col min="13556" max="13556" width="57.5703125" customWidth="1"/>
    <col min="13557" max="13557" width="14.28515625" customWidth="1"/>
    <col min="13558" max="13558" width="0.85546875" customWidth="1"/>
    <col min="13559" max="13559" width="16.5703125" bestFit="1" customWidth="1"/>
    <col min="13560" max="13560" width="13.42578125" bestFit="1" customWidth="1"/>
    <col min="13807" max="13807" width="4.85546875" bestFit="1" customWidth="1"/>
    <col min="13808" max="13808" width="5.85546875" bestFit="1" customWidth="1"/>
    <col min="13809" max="13809" width="7.42578125" bestFit="1" customWidth="1"/>
    <col min="13810" max="13810" width="8.140625" bestFit="1" customWidth="1"/>
    <col min="13811" max="13811" width="4.5703125" bestFit="1" customWidth="1"/>
    <col min="13812" max="13812" width="57.5703125" customWidth="1"/>
    <col min="13813" max="13813" width="14.28515625" customWidth="1"/>
    <col min="13814" max="13814" width="0.85546875" customWidth="1"/>
    <col min="13815" max="13815" width="16.5703125" bestFit="1" customWidth="1"/>
    <col min="13816" max="13816" width="13.42578125" bestFit="1" customWidth="1"/>
    <col min="14063" max="14063" width="4.85546875" bestFit="1" customWidth="1"/>
    <col min="14064" max="14064" width="5.85546875" bestFit="1" customWidth="1"/>
    <col min="14065" max="14065" width="7.42578125" bestFit="1" customWidth="1"/>
    <col min="14066" max="14066" width="8.140625" bestFit="1" customWidth="1"/>
    <col min="14067" max="14067" width="4.5703125" bestFit="1" customWidth="1"/>
    <col min="14068" max="14068" width="57.5703125" customWidth="1"/>
    <col min="14069" max="14069" width="14.28515625" customWidth="1"/>
    <col min="14070" max="14070" width="0.85546875" customWidth="1"/>
    <col min="14071" max="14071" width="16.5703125" bestFit="1" customWidth="1"/>
    <col min="14072" max="14072" width="13.42578125" bestFit="1" customWidth="1"/>
    <col min="14319" max="14319" width="4.85546875" bestFit="1" customWidth="1"/>
    <col min="14320" max="14320" width="5.85546875" bestFit="1" customWidth="1"/>
    <col min="14321" max="14321" width="7.42578125" bestFit="1" customWidth="1"/>
    <col min="14322" max="14322" width="8.140625" bestFit="1" customWidth="1"/>
    <col min="14323" max="14323" width="4.5703125" bestFit="1" customWidth="1"/>
    <col min="14324" max="14324" width="57.5703125" customWidth="1"/>
    <col min="14325" max="14325" width="14.28515625" customWidth="1"/>
    <col min="14326" max="14326" width="0.85546875" customWidth="1"/>
    <col min="14327" max="14327" width="16.5703125" bestFit="1" customWidth="1"/>
    <col min="14328" max="14328" width="13.42578125" bestFit="1" customWidth="1"/>
    <col min="14575" max="14575" width="4.85546875" bestFit="1" customWidth="1"/>
    <col min="14576" max="14576" width="5.85546875" bestFit="1" customWidth="1"/>
    <col min="14577" max="14577" width="7.42578125" bestFit="1" customWidth="1"/>
    <col min="14578" max="14578" width="8.140625" bestFit="1" customWidth="1"/>
    <col min="14579" max="14579" width="4.5703125" bestFit="1" customWidth="1"/>
    <col min="14580" max="14580" width="57.5703125" customWidth="1"/>
    <col min="14581" max="14581" width="14.28515625" customWidth="1"/>
    <col min="14582" max="14582" width="0.85546875" customWidth="1"/>
    <col min="14583" max="14583" width="16.5703125" bestFit="1" customWidth="1"/>
    <col min="14584" max="14584" width="13.42578125" bestFit="1" customWidth="1"/>
    <col min="14831" max="14831" width="4.85546875" bestFit="1" customWidth="1"/>
    <col min="14832" max="14832" width="5.85546875" bestFit="1" customWidth="1"/>
    <col min="14833" max="14833" width="7.42578125" bestFit="1" customWidth="1"/>
    <col min="14834" max="14834" width="8.140625" bestFit="1" customWidth="1"/>
    <col min="14835" max="14835" width="4.5703125" bestFit="1" customWidth="1"/>
    <col min="14836" max="14836" width="57.5703125" customWidth="1"/>
    <col min="14837" max="14837" width="14.28515625" customWidth="1"/>
    <col min="14838" max="14838" width="0.85546875" customWidth="1"/>
    <col min="14839" max="14839" width="16.5703125" bestFit="1" customWidth="1"/>
    <col min="14840" max="14840" width="13.42578125" bestFit="1" customWidth="1"/>
    <col min="15087" max="15087" width="4.85546875" bestFit="1" customWidth="1"/>
    <col min="15088" max="15088" width="5.85546875" bestFit="1" customWidth="1"/>
    <col min="15089" max="15089" width="7.42578125" bestFit="1" customWidth="1"/>
    <col min="15090" max="15090" width="8.140625" bestFit="1" customWidth="1"/>
    <col min="15091" max="15091" width="4.5703125" bestFit="1" customWidth="1"/>
    <col min="15092" max="15092" width="57.5703125" customWidth="1"/>
    <col min="15093" max="15093" width="14.28515625" customWidth="1"/>
    <col min="15094" max="15094" width="0.85546875" customWidth="1"/>
    <col min="15095" max="15095" width="16.5703125" bestFit="1" customWidth="1"/>
    <col min="15096" max="15096" width="13.42578125" bestFit="1" customWidth="1"/>
    <col min="15343" max="15343" width="4.85546875" bestFit="1" customWidth="1"/>
    <col min="15344" max="15344" width="5.85546875" bestFit="1" customWidth="1"/>
    <col min="15345" max="15345" width="7.42578125" bestFit="1" customWidth="1"/>
    <col min="15346" max="15346" width="8.140625" bestFit="1" customWidth="1"/>
    <col min="15347" max="15347" width="4.5703125" bestFit="1" customWidth="1"/>
    <col min="15348" max="15348" width="57.5703125" customWidth="1"/>
    <col min="15349" max="15349" width="14.28515625" customWidth="1"/>
    <col min="15350" max="15350" width="0.85546875" customWidth="1"/>
    <col min="15351" max="15351" width="16.5703125" bestFit="1" customWidth="1"/>
    <col min="15352" max="15352" width="13.42578125" bestFit="1" customWidth="1"/>
    <col min="15599" max="15599" width="4.85546875" bestFit="1" customWidth="1"/>
    <col min="15600" max="15600" width="5.85546875" bestFit="1" customWidth="1"/>
    <col min="15601" max="15601" width="7.42578125" bestFit="1" customWidth="1"/>
    <col min="15602" max="15602" width="8.140625" bestFit="1" customWidth="1"/>
    <col min="15603" max="15603" width="4.5703125" bestFit="1" customWidth="1"/>
    <col min="15604" max="15604" width="57.5703125" customWidth="1"/>
    <col min="15605" max="15605" width="14.28515625" customWidth="1"/>
    <col min="15606" max="15606" width="0.85546875" customWidth="1"/>
    <col min="15607" max="15607" width="16.5703125" bestFit="1" customWidth="1"/>
    <col min="15608" max="15608" width="13.42578125" bestFit="1" customWidth="1"/>
    <col min="15855" max="15855" width="4.85546875" bestFit="1" customWidth="1"/>
    <col min="15856" max="15856" width="5.85546875" bestFit="1" customWidth="1"/>
    <col min="15857" max="15857" width="7.42578125" bestFit="1" customWidth="1"/>
    <col min="15858" max="15858" width="8.140625" bestFit="1" customWidth="1"/>
    <col min="15859" max="15859" width="4.5703125" bestFit="1" customWidth="1"/>
    <col min="15860" max="15860" width="57.5703125" customWidth="1"/>
    <col min="15861" max="15861" width="14.28515625" customWidth="1"/>
    <col min="15862" max="15862" width="0.85546875" customWidth="1"/>
    <col min="15863" max="15863" width="16.5703125" bestFit="1" customWidth="1"/>
    <col min="15864" max="15864" width="13.42578125" bestFit="1" customWidth="1"/>
    <col min="16111" max="16111" width="4.85546875" bestFit="1" customWidth="1"/>
    <col min="16112" max="16112" width="5.85546875" bestFit="1" customWidth="1"/>
    <col min="16113" max="16113" width="7.42578125" bestFit="1" customWidth="1"/>
    <col min="16114" max="16114" width="8.140625" bestFit="1" customWidth="1"/>
    <col min="16115" max="16115" width="4.5703125" bestFit="1" customWidth="1"/>
    <col min="16116" max="16116" width="57.5703125" customWidth="1"/>
    <col min="16117" max="16117" width="14.28515625" customWidth="1"/>
    <col min="16118" max="16118" width="0.85546875" customWidth="1"/>
    <col min="16119" max="16119" width="16.5703125" bestFit="1" customWidth="1"/>
    <col min="16120" max="16120" width="13.42578125" bestFit="1" customWidth="1"/>
  </cols>
  <sheetData>
    <row r="1" spans="1:16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16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16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16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16" s="174" customFormat="1" ht="20.25" x14ac:dyDescent="0.3">
      <c r="A5" s="269" t="str">
        <f>'[1]Estado de flujo de Efectivo'!A1:B1</f>
        <v>Consejo Económico y Social -CES-</v>
      </c>
      <c r="B5" s="269"/>
      <c r="C5" s="269"/>
      <c r="D5" s="269"/>
      <c r="E5" s="269"/>
      <c r="F5" s="269"/>
      <c r="G5" s="269"/>
      <c r="H5" s="269"/>
      <c r="I5" s="33"/>
    </row>
    <row r="6" spans="1:16" s="174" customFormat="1" ht="20.25" x14ac:dyDescent="0.3">
      <c r="A6" s="269" t="s">
        <v>138</v>
      </c>
      <c r="B6" s="269"/>
      <c r="C6" s="269"/>
      <c r="D6" s="269"/>
      <c r="E6" s="269"/>
      <c r="F6" s="269"/>
      <c r="G6" s="269"/>
      <c r="H6" s="269"/>
      <c r="I6" s="33"/>
    </row>
    <row r="7" spans="1:16" s="174" customFormat="1" ht="20.25" x14ac:dyDescent="0.3">
      <c r="A7" s="269" t="s">
        <v>0</v>
      </c>
      <c r="B7" s="269"/>
      <c r="C7" s="269"/>
      <c r="D7" s="269"/>
      <c r="E7" s="269"/>
      <c r="F7" s="269"/>
      <c r="G7" s="269"/>
      <c r="H7" s="269"/>
      <c r="I7" s="33"/>
    </row>
    <row r="8" spans="1:16" s="174" customFormat="1" ht="16.5" thickBot="1" x14ac:dyDescent="0.3">
      <c r="A8" s="141"/>
      <c r="B8" s="141"/>
      <c r="C8" s="141"/>
      <c r="D8" s="141"/>
      <c r="E8" s="141"/>
      <c r="F8" s="69"/>
      <c r="G8" s="69"/>
      <c r="H8" s="70"/>
      <c r="I8" s="33"/>
    </row>
    <row r="9" spans="1:16" ht="48" thickBot="1" x14ac:dyDescent="0.3">
      <c r="A9" s="71"/>
      <c r="B9" s="71"/>
      <c r="C9" s="72"/>
      <c r="D9" s="72"/>
      <c r="E9" s="73"/>
      <c r="F9" s="77"/>
      <c r="G9" s="78" t="s">
        <v>126</v>
      </c>
      <c r="H9" s="79" t="s">
        <v>127</v>
      </c>
      <c r="I9" s="2" t="s">
        <v>3</v>
      </c>
      <c r="J9" s="79" t="s">
        <v>130</v>
      </c>
      <c r="K9" s="79" t="s">
        <v>132</v>
      </c>
      <c r="L9" s="79" t="s">
        <v>135</v>
      </c>
      <c r="M9" s="79" t="s">
        <v>137</v>
      </c>
      <c r="N9" s="79" t="s">
        <v>139</v>
      </c>
      <c r="O9" s="175" t="s">
        <v>128</v>
      </c>
      <c r="P9" s="198" t="s">
        <v>3</v>
      </c>
    </row>
    <row r="10" spans="1:16" ht="48" thickBot="1" x14ac:dyDescent="0.3">
      <c r="A10" s="80" t="s">
        <v>4</v>
      </c>
      <c r="B10" s="78" t="s">
        <v>5</v>
      </c>
      <c r="C10" s="81" t="s">
        <v>6</v>
      </c>
      <c r="D10" s="78" t="s">
        <v>7</v>
      </c>
      <c r="E10" s="78" t="s">
        <v>8</v>
      </c>
      <c r="F10" s="71" t="s">
        <v>9</v>
      </c>
      <c r="G10" s="82" t="s">
        <v>10</v>
      </c>
      <c r="H10" s="83" t="s">
        <v>10</v>
      </c>
      <c r="I10" s="3" t="s">
        <v>10</v>
      </c>
      <c r="J10" s="83" t="s">
        <v>10</v>
      </c>
      <c r="K10" s="83" t="s">
        <v>10</v>
      </c>
      <c r="L10" s="83" t="s">
        <v>10</v>
      </c>
      <c r="M10" s="83" t="s">
        <v>10</v>
      </c>
      <c r="N10" s="83" t="s">
        <v>10</v>
      </c>
      <c r="O10" s="83" t="s">
        <v>10</v>
      </c>
      <c r="P10" s="199" t="s">
        <v>10</v>
      </c>
    </row>
    <row r="11" spans="1:16" ht="15.75" x14ac:dyDescent="0.25">
      <c r="A11" s="84"/>
      <c r="B11" s="85"/>
      <c r="C11" s="86"/>
      <c r="D11" s="87"/>
      <c r="E11" s="88"/>
      <c r="F11" s="89"/>
      <c r="G11" s="90"/>
      <c r="H11" s="91"/>
      <c r="I11" s="4"/>
      <c r="J11" s="91"/>
      <c r="K11" s="91"/>
      <c r="L11" s="91"/>
      <c r="M11" s="91"/>
      <c r="N11" s="91"/>
      <c r="O11" s="91"/>
      <c r="P11" s="200"/>
    </row>
    <row r="12" spans="1:16" ht="16.5" thickBot="1" x14ac:dyDescent="0.3">
      <c r="A12" s="85">
        <v>2</v>
      </c>
      <c r="B12" s="85">
        <v>1</v>
      </c>
      <c r="C12" s="92"/>
      <c r="D12" s="85"/>
      <c r="E12" s="93"/>
      <c r="F12" s="94" t="s">
        <v>11</v>
      </c>
      <c r="G12" s="95">
        <f>G13+G31+G38+G43-1</f>
        <v>23002832</v>
      </c>
      <c r="H12" s="165">
        <f>H13+H31+H38+H43</f>
        <v>1661145.73</v>
      </c>
      <c r="I12" s="5" t="e">
        <f>I13+I31+I38+I43</f>
        <v>#REF!</v>
      </c>
      <c r="J12" s="165">
        <f t="shared" ref="J12:O12" si="0">J13+J31+J38+J43</f>
        <v>1673803.74</v>
      </c>
      <c r="K12" s="165">
        <f t="shared" si="0"/>
        <v>1673803.74</v>
      </c>
      <c r="L12" s="165">
        <f t="shared" si="0"/>
        <v>1667742.0209999999</v>
      </c>
      <c r="M12" s="165">
        <f t="shared" si="0"/>
        <v>1673803.74</v>
      </c>
      <c r="N12" s="165">
        <f t="shared" si="0"/>
        <v>1716335.74</v>
      </c>
      <c r="O12" s="165">
        <f t="shared" si="0"/>
        <v>10066634.710999999</v>
      </c>
      <c r="P12" s="201">
        <f>P13+P31+P38+P43</f>
        <v>12936198.289000001</v>
      </c>
    </row>
    <row r="13" spans="1:16" ht="16.5" thickBot="1" x14ac:dyDescent="0.3">
      <c r="A13" s="85">
        <v>2</v>
      </c>
      <c r="B13" s="85">
        <v>1</v>
      </c>
      <c r="C13" s="92">
        <v>1</v>
      </c>
      <c r="D13" s="85"/>
      <c r="E13" s="93"/>
      <c r="F13" s="94" t="s">
        <v>12</v>
      </c>
      <c r="G13" s="96">
        <f>G14+G17+G22+G25</f>
        <v>19031957</v>
      </c>
      <c r="H13" s="96">
        <f>H14+H17+H22+H25</f>
        <v>1454830</v>
      </c>
      <c r="I13" s="6" t="e">
        <f>I14+I17+I22+I25</f>
        <v>#REF!</v>
      </c>
      <c r="J13" s="96">
        <f t="shared" ref="J13:O13" si="1">J14+J17+J22+J25</f>
        <v>1464830</v>
      </c>
      <c r="K13" s="96">
        <f t="shared" si="1"/>
        <v>1464830</v>
      </c>
      <c r="L13" s="96">
        <f t="shared" si="1"/>
        <v>1464830</v>
      </c>
      <c r="M13" s="96">
        <f t="shared" si="1"/>
        <v>1464830</v>
      </c>
      <c r="N13" s="96">
        <f t="shared" si="1"/>
        <v>1507362</v>
      </c>
      <c r="O13" s="96">
        <f t="shared" si="1"/>
        <v>8821512</v>
      </c>
      <c r="P13" s="202">
        <f>P14+P17+P22+P25</f>
        <v>10210445</v>
      </c>
    </row>
    <row r="14" spans="1:16" ht="16.5" thickBot="1" x14ac:dyDescent="0.3">
      <c r="A14" s="85">
        <v>2</v>
      </c>
      <c r="B14" s="85">
        <v>1</v>
      </c>
      <c r="C14" s="92">
        <v>1</v>
      </c>
      <c r="D14" s="85">
        <v>1</v>
      </c>
      <c r="E14" s="93"/>
      <c r="F14" s="94" t="s">
        <v>13</v>
      </c>
      <c r="G14" s="97">
        <f>G15</f>
        <v>6300000</v>
      </c>
      <c r="H14" s="98">
        <f>H15</f>
        <v>525000</v>
      </c>
      <c r="I14" s="7" t="e">
        <f>I15</f>
        <v>#REF!</v>
      </c>
      <c r="J14" s="98">
        <f t="shared" ref="J14:O14" si="2">J15</f>
        <v>525000</v>
      </c>
      <c r="K14" s="98">
        <f t="shared" si="2"/>
        <v>525000</v>
      </c>
      <c r="L14" s="98">
        <f t="shared" si="2"/>
        <v>525000</v>
      </c>
      <c r="M14" s="98">
        <f t="shared" si="2"/>
        <v>525000</v>
      </c>
      <c r="N14" s="98">
        <f t="shared" si="2"/>
        <v>525000</v>
      </c>
      <c r="O14" s="98">
        <f t="shared" si="2"/>
        <v>3150000</v>
      </c>
      <c r="P14" s="203">
        <f>P15</f>
        <v>3150000</v>
      </c>
    </row>
    <row r="15" spans="1:16" ht="15.75" x14ac:dyDescent="0.25">
      <c r="A15" s="85">
        <v>2</v>
      </c>
      <c r="B15" s="85">
        <v>1</v>
      </c>
      <c r="C15" s="92">
        <v>1</v>
      </c>
      <c r="D15" s="85">
        <v>1</v>
      </c>
      <c r="E15" s="85">
        <v>1</v>
      </c>
      <c r="F15" s="99" t="s">
        <v>14</v>
      </c>
      <c r="G15" s="100">
        <v>6300000</v>
      </c>
      <c r="H15" s="101">
        <f>225000+300000</f>
        <v>525000</v>
      </c>
      <c r="I15" s="8" t="e">
        <f>+G15-#REF!</f>
        <v>#REF!</v>
      </c>
      <c r="J15" s="101">
        <f>225000+300000</f>
        <v>525000</v>
      </c>
      <c r="K15" s="101">
        <f>225000+300000</f>
        <v>525000</v>
      </c>
      <c r="L15" s="101">
        <f>225000+300000</f>
        <v>525000</v>
      </c>
      <c r="M15" s="101">
        <f>225000+300000</f>
        <v>525000</v>
      </c>
      <c r="N15" s="101">
        <f>225000+300000</f>
        <v>525000</v>
      </c>
      <c r="O15" s="101">
        <f>+H15+J15+K15+L15+M15+N15</f>
        <v>3150000</v>
      </c>
      <c r="P15" s="204">
        <f>+G15-O15</f>
        <v>3150000</v>
      </c>
    </row>
    <row r="16" spans="1:16" ht="15.75" x14ac:dyDescent="0.25">
      <c r="A16" s="85"/>
      <c r="B16" s="85"/>
      <c r="C16" s="92"/>
      <c r="D16" s="85"/>
      <c r="E16" s="84"/>
      <c r="F16" s="99"/>
      <c r="G16" s="102"/>
      <c r="H16" s="103"/>
      <c r="I16" s="9"/>
      <c r="J16" s="103"/>
      <c r="K16" s="103"/>
      <c r="L16" s="103"/>
      <c r="M16" s="103"/>
      <c r="N16" s="103"/>
      <c r="O16" s="103"/>
      <c r="P16" s="205"/>
    </row>
    <row r="17" spans="1:16" ht="32.25" thickBot="1" x14ac:dyDescent="0.3">
      <c r="A17" s="85">
        <v>2</v>
      </c>
      <c r="B17" s="85">
        <v>1</v>
      </c>
      <c r="C17" s="92">
        <v>1</v>
      </c>
      <c r="D17" s="85">
        <v>2</v>
      </c>
      <c r="E17" s="93"/>
      <c r="F17" s="104" t="s">
        <v>15</v>
      </c>
      <c r="G17" s="95">
        <f>G18</f>
        <v>11267960</v>
      </c>
      <c r="H17" s="105">
        <f t="shared" ref="H17:P17" si="3">SUM(H18:H20)</f>
        <v>929830</v>
      </c>
      <c r="I17" s="10" t="e">
        <f t="shared" si="3"/>
        <v>#REF!</v>
      </c>
      <c r="J17" s="105">
        <f t="shared" si="3"/>
        <v>939830</v>
      </c>
      <c r="K17" s="105">
        <f t="shared" si="3"/>
        <v>939830</v>
      </c>
      <c r="L17" s="105">
        <f t="shared" si="3"/>
        <v>939830</v>
      </c>
      <c r="M17" s="105">
        <f t="shared" si="3"/>
        <v>939830</v>
      </c>
      <c r="N17" s="105">
        <f t="shared" si="3"/>
        <v>939830</v>
      </c>
      <c r="O17" s="105">
        <f t="shared" si="3"/>
        <v>5628980</v>
      </c>
      <c r="P17" s="206">
        <f t="shared" si="3"/>
        <v>5638980</v>
      </c>
    </row>
    <row r="18" spans="1:16" ht="31.5" x14ac:dyDescent="0.25">
      <c r="A18" s="85">
        <v>2</v>
      </c>
      <c r="B18" s="85">
        <v>1</v>
      </c>
      <c r="C18" s="92">
        <v>1</v>
      </c>
      <c r="D18" s="85">
        <v>2</v>
      </c>
      <c r="E18" s="85">
        <v>1</v>
      </c>
      <c r="F18" s="106" t="s">
        <v>16</v>
      </c>
      <c r="G18" s="107">
        <v>11267960</v>
      </c>
      <c r="H18" s="103">
        <f>51400+75378+60885+73500+48920+80500+93500+73500+122117+110065+85065</f>
        <v>874830</v>
      </c>
      <c r="I18" s="9" t="e">
        <f>+G18-#REF!</f>
        <v>#REF!</v>
      </c>
      <c r="J18" s="103">
        <f>51400+75378+60885+73500+48920+80500+93500+73500+122117+110065+85065+65000</f>
        <v>939830</v>
      </c>
      <c r="K18" s="103">
        <f>51400+75378+60885+73500+48920+80500+93500+73500+122117+110065+85065+65000</f>
        <v>939830</v>
      </c>
      <c r="L18" s="103">
        <f>51400+75378+60885+73500+48920+80500+93500+73500+122117+110065+85065+65000</f>
        <v>939830</v>
      </c>
      <c r="M18" s="103">
        <f>51400+75378+60885+73500+48920+80500+93500+73500+122117+110065+85065+65000</f>
        <v>939830</v>
      </c>
      <c r="N18" s="103">
        <f>51400+75378+60885+73500+48920+80500+93500+73500+122117+110065+85065+65000</f>
        <v>939830</v>
      </c>
      <c r="O18" s="103">
        <f>+H18+J18+K18+L18+M18+N18</f>
        <v>5573980</v>
      </c>
      <c r="P18" s="205">
        <f>+G18-O18</f>
        <v>5693980</v>
      </c>
    </row>
    <row r="19" spans="1:16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2</v>
      </c>
      <c r="F19" s="106" t="s">
        <v>17</v>
      </c>
      <c r="G19" s="102"/>
      <c r="H19" s="103"/>
      <c r="I19" s="9"/>
      <c r="J19" s="103"/>
      <c r="K19" s="103"/>
      <c r="L19" s="103"/>
      <c r="M19" s="103"/>
      <c r="N19" s="103"/>
      <c r="O19" s="103">
        <f>+H19+J19+K19+L19+M19</f>
        <v>0</v>
      </c>
      <c r="P19" s="205"/>
    </row>
    <row r="20" spans="1:16" ht="31.5" x14ac:dyDescent="0.25">
      <c r="A20" s="85">
        <v>2</v>
      </c>
      <c r="B20" s="85">
        <v>1</v>
      </c>
      <c r="C20" s="92">
        <v>1</v>
      </c>
      <c r="D20" s="85">
        <v>2</v>
      </c>
      <c r="E20" s="85">
        <v>5</v>
      </c>
      <c r="F20" s="106" t="s">
        <v>18</v>
      </c>
      <c r="G20" s="108"/>
      <c r="H20" s="110">
        <v>55000</v>
      </c>
      <c r="I20" s="12" t="e">
        <f>+G20-#REF!</f>
        <v>#REF!</v>
      </c>
      <c r="J20" s="110"/>
      <c r="K20" s="110"/>
      <c r="L20" s="110"/>
      <c r="M20" s="110"/>
      <c r="N20" s="110"/>
      <c r="O20" s="103">
        <f>+H20+J20+K20+L20+M20+N20</f>
        <v>55000</v>
      </c>
      <c r="P20" s="207">
        <f>G20-O20</f>
        <v>-55000</v>
      </c>
    </row>
    <row r="21" spans="1:16" ht="15.75" x14ac:dyDescent="0.25">
      <c r="A21" s="85"/>
      <c r="B21" s="85"/>
      <c r="C21" s="92"/>
      <c r="D21" s="85"/>
      <c r="E21" s="85"/>
      <c r="F21" s="106"/>
      <c r="G21" s="108"/>
      <c r="H21" s="110" t="s">
        <v>19</v>
      </c>
      <c r="I21" s="12"/>
      <c r="J21" s="110" t="s">
        <v>19</v>
      </c>
      <c r="K21" s="110"/>
      <c r="L21" s="110"/>
      <c r="M21" s="110"/>
      <c r="N21" s="110"/>
      <c r="O21" s="110" t="s">
        <v>19</v>
      </c>
      <c r="P21" s="207"/>
    </row>
    <row r="22" spans="1:16" ht="16.5" thickBot="1" x14ac:dyDescent="0.3">
      <c r="A22" s="85">
        <v>2</v>
      </c>
      <c r="B22" s="85">
        <v>1</v>
      </c>
      <c r="C22" s="92">
        <v>1</v>
      </c>
      <c r="D22" s="85">
        <v>4</v>
      </c>
      <c r="E22" s="93"/>
      <c r="F22" s="104" t="s">
        <v>20</v>
      </c>
      <c r="G22" s="95">
        <f t="shared" ref="G22:P22" si="4">G23</f>
        <v>1463997</v>
      </c>
      <c r="H22" s="96">
        <f t="shared" si="4"/>
        <v>0</v>
      </c>
      <c r="I22" s="6" t="e">
        <f t="shared" si="4"/>
        <v>#REF!</v>
      </c>
      <c r="J22" s="96">
        <f t="shared" si="4"/>
        <v>0</v>
      </c>
      <c r="K22" s="96">
        <f t="shared" si="4"/>
        <v>0</v>
      </c>
      <c r="L22" s="96">
        <f t="shared" si="4"/>
        <v>0</v>
      </c>
      <c r="M22" s="96">
        <f t="shared" si="4"/>
        <v>0</v>
      </c>
      <c r="N22" s="105">
        <f t="shared" si="4"/>
        <v>42532</v>
      </c>
      <c r="O22" s="118">
        <f t="shared" si="4"/>
        <v>42532</v>
      </c>
      <c r="P22" s="202">
        <f t="shared" si="4"/>
        <v>1421465</v>
      </c>
    </row>
    <row r="23" spans="1:16" ht="15.75" x14ac:dyDescent="0.25">
      <c r="A23" s="85">
        <v>2</v>
      </c>
      <c r="B23" s="85">
        <v>1</v>
      </c>
      <c r="C23" s="92">
        <v>1</v>
      </c>
      <c r="D23" s="85">
        <v>4</v>
      </c>
      <c r="E23" s="85">
        <v>1</v>
      </c>
      <c r="F23" s="106" t="s">
        <v>21</v>
      </c>
      <c r="G23" s="107">
        <v>1463997</v>
      </c>
      <c r="H23" s="109">
        <v>0</v>
      </c>
      <c r="I23" s="13" t="e">
        <f>+G23-#REF!</f>
        <v>#REF!</v>
      </c>
      <c r="J23" s="109">
        <v>0</v>
      </c>
      <c r="K23" s="109"/>
      <c r="L23" s="109"/>
      <c r="M23" s="109"/>
      <c r="N23" s="110">
        <v>42532</v>
      </c>
      <c r="O23" s="103">
        <f>+H23+J23+K23+L23+M23+N23</f>
        <v>42532</v>
      </c>
      <c r="P23" s="208">
        <f>G23-O23</f>
        <v>1421465</v>
      </c>
    </row>
    <row r="24" spans="1:16" ht="15.75" x14ac:dyDescent="0.25">
      <c r="A24" s="85"/>
      <c r="B24" s="85"/>
      <c r="C24" s="92"/>
      <c r="D24" s="85"/>
      <c r="E24" s="85"/>
      <c r="F24" s="106"/>
      <c r="G24" s="108"/>
      <c r="H24" s="110"/>
      <c r="I24" s="12"/>
      <c r="J24" s="110"/>
      <c r="K24" s="110"/>
      <c r="L24" s="110"/>
      <c r="M24" s="110"/>
      <c r="N24" s="110"/>
      <c r="O24" s="110"/>
      <c r="P24" s="207"/>
    </row>
    <row r="25" spans="1:16" ht="16.5" thickBot="1" x14ac:dyDescent="0.3">
      <c r="A25" s="85">
        <v>2</v>
      </c>
      <c r="B25" s="85">
        <v>1</v>
      </c>
      <c r="C25" s="92">
        <v>1</v>
      </c>
      <c r="D25" s="85">
        <v>5</v>
      </c>
      <c r="E25" s="93"/>
      <c r="F25" s="104" t="s">
        <v>22</v>
      </c>
      <c r="G25" s="111">
        <f>G26+G29</f>
        <v>0</v>
      </c>
      <c r="H25" s="105">
        <f t="shared" ref="H25:P25" si="5">H26+H27+H28+H29</f>
        <v>0</v>
      </c>
      <c r="I25" s="10">
        <f t="shared" si="5"/>
        <v>0</v>
      </c>
      <c r="J25" s="105">
        <f t="shared" si="5"/>
        <v>0</v>
      </c>
      <c r="K25" s="105">
        <f t="shared" si="5"/>
        <v>0</v>
      </c>
      <c r="L25" s="105">
        <f t="shared" si="5"/>
        <v>0</v>
      </c>
      <c r="M25" s="105">
        <f t="shared" si="5"/>
        <v>0</v>
      </c>
      <c r="N25" s="105">
        <f t="shared" si="5"/>
        <v>0</v>
      </c>
      <c r="O25" s="105">
        <f t="shared" si="5"/>
        <v>0</v>
      </c>
      <c r="P25" s="206">
        <f t="shared" si="5"/>
        <v>0</v>
      </c>
    </row>
    <row r="26" spans="1:16" ht="15.75" x14ac:dyDescent="0.25">
      <c r="A26" s="85">
        <v>2</v>
      </c>
      <c r="B26" s="85">
        <v>1</v>
      </c>
      <c r="C26" s="92">
        <v>1</v>
      </c>
      <c r="D26" s="85">
        <v>5</v>
      </c>
      <c r="E26" s="85">
        <v>1</v>
      </c>
      <c r="F26" s="106" t="s">
        <v>22</v>
      </c>
      <c r="G26" s="108"/>
      <c r="H26" s="110">
        <v>0</v>
      </c>
      <c r="I26" s="12">
        <v>0</v>
      </c>
      <c r="J26" s="110">
        <v>0</v>
      </c>
      <c r="K26" s="110"/>
      <c r="L26" s="110"/>
      <c r="M26" s="110"/>
      <c r="N26" s="110"/>
      <c r="O26" s="103">
        <f>+H26+J26+K26+L26+M26+N26</f>
        <v>0</v>
      </c>
      <c r="P26" s="207">
        <v>0</v>
      </c>
    </row>
    <row r="27" spans="1:16" ht="31.5" x14ac:dyDescent="0.25">
      <c r="A27" s="85">
        <v>2</v>
      </c>
      <c r="B27" s="85">
        <v>1</v>
      </c>
      <c r="C27" s="92">
        <v>1</v>
      </c>
      <c r="D27" s="85">
        <v>5</v>
      </c>
      <c r="E27" s="85">
        <v>2</v>
      </c>
      <c r="F27" s="106" t="s">
        <v>23</v>
      </c>
      <c r="G27" s="108"/>
      <c r="H27" s="110">
        <v>0</v>
      </c>
      <c r="I27" s="12">
        <v>0</v>
      </c>
      <c r="J27" s="110">
        <v>0</v>
      </c>
      <c r="K27" s="110"/>
      <c r="L27" s="110"/>
      <c r="M27" s="110"/>
      <c r="N27" s="110"/>
      <c r="O27" s="103">
        <f>+H27+J27+K27+L27+M27+N27</f>
        <v>0</v>
      </c>
      <c r="P27" s="207">
        <v>0</v>
      </c>
    </row>
    <row r="28" spans="1:16" ht="31.5" x14ac:dyDescent="0.25">
      <c r="A28" s="85">
        <v>2</v>
      </c>
      <c r="B28" s="85">
        <v>1</v>
      </c>
      <c r="C28" s="92">
        <v>1</v>
      </c>
      <c r="D28" s="85">
        <v>5</v>
      </c>
      <c r="E28" s="85">
        <v>3</v>
      </c>
      <c r="F28" s="106" t="s">
        <v>24</v>
      </c>
      <c r="G28" s="108"/>
      <c r="H28" s="110">
        <v>0</v>
      </c>
      <c r="I28" s="12">
        <v>0</v>
      </c>
      <c r="J28" s="110">
        <v>0</v>
      </c>
      <c r="K28" s="110"/>
      <c r="L28" s="110"/>
      <c r="M28" s="110"/>
      <c r="N28" s="110"/>
      <c r="O28" s="103">
        <f>+H28+J28+K28+L28+M28+N28</f>
        <v>0</v>
      </c>
      <c r="P28" s="207">
        <v>0</v>
      </c>
    </row>
    <row r="29" spans="1:16" ht="31.5" x14ac:dyDescent="0.25">
      <c r="A29" s="85">
        <v>2</v>
      </c>
      <c r="B29" s="85">
        <v>1</v>
      </c>
      <c r="C29" s="92">
        <v>1</v>
      </c>
      <c r="D29" s="85">
        <v>5</v>
      </c>
      <c r="E29" s="85">
        <v>4</v>
      </c>
      <c r="F29" s="106" t="s">
        <v>25</v>
      </c>
      <c r="G29" s="108"/>
      <c r="H29" s="110"/>
      <c r="I29" s="12"/>
      <c r="J29" s="110"/>
      <c r="K29" s="110"/>
      <c r="L29" s="110"/>
      <c r="M29" s="110"/>
      <c r="N29" s="110"/>
      <c r="O29" s="110"/>
      <c r="P29" s="207"/>
    </row>
    <row r="30" spans="1:16" ht="16.5" thickBot="1" x14ac:dyDescent="0.3">
      <c r="A30" s="85"/>
      <c r="B30" s="85"/>
      <c r="C30" s="92"/>
      <c r="D30" s="85"/>
      <c r="E30" s="85"/>
      <c r="F30" s="106"/>
      <c r="G30" s="108"/>
      <c r="H30" s="110"/>
      <c r="I30" s="12"/>
      <c r="J30" s="110"/>
      <c r="K30" s="110"/>
      <c r="L30" s="110"/>
      <c r="M30" s="110"/>
      <c r="N30" s="110"/>
      <c r="O30" s="110"/>
      <c r="P30" s="207"/>
    </row>
    <row r="31" spans="1:16" ht="16.5" thickBot="1" x14ac:dyDescent="0.3">
      <c r="A31" s="85">
        <v>2</v>
      </c>
      <c r="B31" s="85">
        <v>1</v>
      </c>
      <c r="C31" s="92">
        <v>2</v>
      </c>
      <c r="D31" s="85"/>
      <c r="E31" s="85"/>
      <c r="F31" s="104" t="s">
        <v>26</v>
      </c>
      <c r="G31" s="112">
        <f t="shared" ref="G31:P31" si="6">G32</f>
        <v>1463997</v>
      </c>
      <c r="H31" s="113">
        <f t="shared" si="6"/>
        <v>0</v>
      </c>
      <c r="I31" s="14" t="e">
        <f t="shared" si="6"/>
        <v>#REF!</v>
      </c>
      <c r="J31" s="113">
        <f t="shared" si="6"/>
        <v>0</v>
      </c>
      <c r="K31" s="113">
        <f t="shared" si="6"/>
        <v>0</v>
      </c>
      <c r="L31" s="113">
        <f t="shared" si="6"/>
        <v>0</v>
      </c>
      <c r="M31" s="113">
        <f>M32</f>
        <v>0</v>
      </c>
      <c r="N31" s="113">
        <f t="shared" si="6"/>
        <v>0</v>
      </c>
      <c r="O31" s="113">
        <f t="shared" si="6"/>
        <v>0</v>
      </c>
      <c r="P31" s="209">
        <f t="shared" si="6"/>
        <v>1463997</v>
      </c>
    </row>
    <row r="32" spans="1:16" ht="16.5" thickBot="1" x14ac:dyDescent="0.3">
      <c r="A32" s="85">
        <v>2</v>
      </c>
      <c r="B32" s="85">
        <v>1</v>
      </c>
      <c r="C32" s="85">
        <v>2</v>
      </c>
      <c r="D32" s="85">
        <v>2</v>
      </c>
      <c r="E32" s="85"/>
      <c r="F32" s="104" t="s">
        <v>27</v>
      </c>
      <c r="G32" s="95">
        <f>G33+G34+G35</f>
        <v>1463997</v>
      </c>
      <c r="H32" s="113">
        <f t="shared" ref="H32:P32" si="7">H35</f>
        <v>0</v>
      </c>
      <c r="I32" s="15" t="e">
        <f t="shared" si="7"/>
        <v>#REF!</v>
      </c>
      <c r="J32" s="113">
        <f t="shared" si="7"/>
        <v>0</v>
      </c>
      <c r="K32" s="113">
        <f t="shared" si="7"/>
        <v>0</v>
      </c>
      <c r="L32" s="113">
        <f t="shared" si="7"/>
        <v>0</v>
      </c>
      <c r="M32" s="113">
        <f>M35</f>
        <v>0</v>
      </c>
      <c r="N32" s="113">
        <f>N35</f>
        <v>0</v>
      </c>
      <c r="O32" s="113">
        <f t="shared" si="7"/>
        <v>0</v>
      </c>
      <c r="P32" s="209">
        <f t="shared" si="7"/>
        <v>1463997</v>
      </c>
    </row>
    <row r="33" spans="1:16" ht="31.5" x14ac:dyDescent="0.25">
      <c r="A33" s="85">
        <v>2</v>
      </c>
      <c r="B33" s="85">
        <v>1</v>
      </c>
      <c r="C33" s="85">
        <v>2</v>
      </c>
      <c r="D33" s="85">
        <v>2</v>
      </c>
      <c r="E33" s="85">
        <v>2</v>
      </c>
      <c r="F33" s="104" t="s">
        <v>28</v>
      </c>
      <c r="G33" s="114"/>
      <c r="H33" s="96">
        <v>0</v>
      </c>
      <c r="I33" s="6">
        <v>0</v>
      </c>
      <c r="J33" s="96">
        <v>0</v>
      </c>
      <c r="K33" s="96">
        <v>0</v>
      </c>
      <c r="L33" s="96"/>
      <c r="M33" s="96"/>
      <c r="N33" s="96"/>
      <c r="O33" s="103">
        <f>+H33+J33+K33+L33+M33+N33</f>
        <v>0</v>
      </c>
      <c r="P33" s="202">
        <v>0</v>
      </c>
    </row>
    <row r="34" spans="1:16" ht="15.75" x14ac:dyDescent="0.25">
      <c r="A34" s="85">
        <v>2</v>
      </c>
      <c r="B34" s="85">
        <v>1</v>
      </c>
      <c r="C34" s="85">
        <v>2</v>
      </c>
      <c r="D34" s="85">
        <v>2</v>
      </c>
      <c r="E34" s="85">
        <v>4</v>
      </c>
      <c r="F34" s="106" t="s">
        <v>29</v>
      </c>
      <c r="G34" s="108">
        <v>0</v>
      </c>
      <c r="H34" s="110">
        <v>0</v>
      </c>
      <c r="I34" s="110">
        <v>0</v>
      </c>
      <c r="J34" s="110">
        <v>0</v>
      </c>
      <c r="K34" s="110">
        <v>0</v>
      </c>
      <c r="L34" s="110"/>
      <c r="M34" s="110"/>
      <c r="N34" s="110"/>
      <c r="O34" s="103">
        <f>+H34+J34+K34+L34+M34+N34</f>
        <v>0</v>
      </c>
      <c r="P34" s="207">
        <v>0</v>
      </c>
    </row>
    <row r="35" spans="1:16" ht="15.75" x14ac:dyDescent="0.25">
      <c r="A35" s="85">
        <v>2</v>
      </c>
      <c r="B35" s="85">
        <v>1</v>
      </c>
      <c r="C35" s="85">
        <v>2</v>
      </c>
      <c r="D35" s="85">
        <v>2</v>
      </c>
      <c r="E35" s="85">
        <v>15</v>
      </c>
      <c r="F35" s="106" t="s">
        <v>30</v>
      </c>
      <c r="G35" s="108">
        <v>1463997</v>
      </c>
      <c r="H35" s="110"/>
      <c r="I35" s="12" t="e">
        <f>+G35-#REF!</f>
        <v>#REF!</v>
      </c>
      <c r="J35" s="110"/>
      <c r="K35" s="110"/>
      <c r="L35" s="110"/>
      <c r="M35" s="110"/>
      <c r="N35" s="110"/>
      <c r="O35" s="103">
        <f>+H35+J35+K35+L35+M35+N35</f>
        <v>0</v>
      </c>
      <c r="P35" s="207">
        <f>G35-O35</f>
        <v>1463997</v>
      </c>
    </row>
    <row r="36" spans="1:16" ht="15.75" x14ac:dyDescent="0.25">
      <c r="A36" s="85"/>
      <c r="B36" s="85"/>
      <c r="C36" s="92"/>
      <c r="D36" s="85"/>
      <c r="E36" s="85"/>
      <c r="F36" s="106"/>
      <c r="G36" s="108"/>
      <c r="H36" s="110"/>
      <c r="I36" s="12"/>
      <c r="J36" s="110"/>
      <c r="K36" s="110"/>
      <c r="L36" s="110"/>
      <c r="M36" s="110"/>
      <c r="N36" s="110"/>
      <c r="O36" s="110"/>
      <c r="P36" s="207"/>
    </row>
    <row r="37" spans="1:16" ht="15.75" x14ac:dyDescent="0.25">
      <c r="A37" s="85"/>
      <c r="B37" s="85"/>
      <c r="C37" s="92"/>
      <c r="D37" s="85"/>
      <c r="E37" s="85"/>
      <c r="F37" s="106"/>
      <c r="G37" s="108"/>
      <c r="H37" s="110"/>
      <c r="I37" s="12"/>
      <c r="J37" s="110"/>
      <c r="K37" s="110"/>
      <c r="L37" s="110"/>
      <c r="M37" s="110"/>
      <c r="N37" s="110"/>
      <c r="O37" s="110"/>
      <c r="P37" s="207"/>
    </row>
    <row r="38" spans="1:16" ht="32.25" thickBot="1" x14ac:dyDescent="0.3">
      <c r="A38" s="85">
        <v>2</v>
      </c>
      <c r="B38" s="85">
        <v>1</v>
      </c>
      <c r="C38" s="92">
        <v>3</v>
      </c>
      <c r="D38" s="85"/>
      <c r="E38" s="85"/>
      <c r="F38" s="104" t="s">
        <v>31</v>
      </c>
      <c r="G38" s="108"/>
      <c r="H38" s="110"/>
      <c r="I38" s="12"/>
      <c r="J38" s="110"/>
      <c r="K38" s="110"/>
      <c r="L38" s="110"/>
      <c r="M38" s="110"/>
      <c r="N38" s="110"/>
      <c r="O38" s="110"/>
      <c r="P38" s="207"/>
    </row>
    <row r="39" spans="1:16" ht="16.5" thickBot="1" x14ac:dyDescent="0.3">
      <c r="A39" s="85">
        <v>2</v>
      </c>
      <c r="B39" s="85">
        <v>1</v>
      </c>
      <c r="C39" s="92">
        <v>3</v>
      </c>
      <c r="D39" s="85">
        <v>1</v>
      </c>
      <c r="E39" s="93"/>
      <c r="F39" s="104" t="s">
        <v>32</v>
      </c>
      <c r="G39" s="97">
        <f t="shared" ref="G39:O39" si="8">G40+G41</f>
        <v>0</v>
      </c>
      <c r="H39" s="98">
        <f t="shared" si="8"/>
        <v>0</v>
      </c>
      <c r="I39" s="16">
        <f t="shared" si="8"/>
        <v>0</v>
      </c>
      <c r="J39" s="98">
        <f t="shared" si="8"/>
        <v>0</v>
      </c>
      <c r="K39" s="98">
        <f t="shared" si="8"/>
        <v>0</v>
      </c>
      <c r="L39" s="98">
        <f t="shared" si="8"/>
        <v>0</v>
      </c>
      <c r="M39" s="98">
        <f t="shared" si="8"/>
        <v>0</v>
      </c>
      <c r="N39" s="98">
        <f t="shared" si="8"/>
        <v>0</v>
      </c>
      <c r="O39" s="98">
        <f t="shared" si="8"/>
        <v>0</v>
      </c>
      <c r="P39" s="210">
        <f>P40+P41</f>
        <v>0</v>
      </c>
    </row>
    <row r="40" spans="1:16" ht="15.75" x14ac:dyDescent="0.25">
      <c r="A40" s="85">
        <v>2</v>
      </c>
      <c r="B40" s="85">
        <v>1</v>
      </c>
      <c r="C40" s="92">
        <v>3</v>
      </c>
      <c r="D40" s="85">
        <v>1</v>
      </c>
      <c r="E40" s="85">
        <v>1</v>
      </c>
      <c r="F40" s="106" t="s">
        <v>33</v>
      </c>
      <c r="G40" s="107"/>
      <c r="H40" s="110">
        <f t="shared" ref="H40:K41" si="9">G40*12</f>
        <v>0</v>
      </c>
      <c r="I40" s="110">
        <f t="shared" si="9"/>
        <v>0</v>
      </c>
      <c r="J40" s="110">
        <f t="shared" si="9"/>
        <v>0</v>
      </c>
      <c r="K40" s="110">
        <f t="shared" si="9"/>
        <v>0</v>
      </c>
      <c r="L40" s="110"/>
      <c r="M40" s="110"/>
      <c r="N40" s="110"/>
      <c r="O40" s="182">
        <f>+H40+J40+K40+L40+M40+N40</f>
        <v>0</v>
      </c>
      <c r="P40" s="207">
        <f>+G40-O40</f>
        <v>0</v>
      </c>
    </row>
    <row r="41" spans="1:16" ht="15.75" x14ac:dyDescent="0.25">
      <c r="A41" s="85">
        <v>2</v>
      </c>
      <c r="B41" s="85">
        <v>1</v>
      </c>
      <c r="C41" s="92">
        <v>3</v>
      </c>
      <c r="D41" s="85">
        <v>1</v>
      </c>
      <c r="E41" s="85">
        <v>2</v>
      </c>
      <c r="F41" s="106" t="s">
        <v>34</v>
      </c>
      <c r="G41" s="108"/>
      <c r="H41" s="110">
        <f t="shared" si="9"/>
        <v>0</v>
      </c>
      <c r="I41" s="110">
        <f t="shared" si="9"/>
        <v>0</v>
      </c>
      <c r="J41" s="110">
        <f t="shared" si="9"/>
        <v>0</v>
      </c>
      <c r="K41" s="110">
        <f t="shared" si="9"/>
        <v>0</v>
      </c>
      <c r="L41" s="110"/>
      <c r="M41" s="110"/>
      <c r="N41" s="110"/>
      <c r="O41" s="103">
        <f>+H41+J41+K41+L41+M41+N41</f>
        <v>0</v>
      </c>
      <c r="P41" s="207">
        <f>+G41-O41</f>
        <v>0</v>
      </c>
    </row>
    <row r="42" spans="1:16" s="17" customFormat="1" ht="15.75" x14ac:dyDescent="0.25">
      <c r="A42" s="85"/>
      <c r="B42" s="85"/>
      <c r="C42" s="92"/>
      <c r="D42" s="85"/>
      <c r="E42" s="85"/>
      <c r="F42" s="106"/>
      <c r="G42" s="108"/>
      <c r="H42" s="110"/>
      <c r="I42" s="12"/>
      <c r="J42" s="110"/>
      <c r="K42" s="110"/>
      <c r="L42" s="110"/>
      <c r="M42" s="110"/>
      <c r="N42" s="110"/>
      <c r="O42" s="110"/>
      <c r="P42" s="207"/>
    </row>
    <row r="43" spans="1:16" ht="32.25" thickBot="1" x14ac:dyDescent="0.3">
      <c r="A43" s="85">
        <v>2</v>
      </c>
      <c r="B43" s="115">
        <v>1</v>
      </c>
      <c r="C43" s="116">
        <v>5</v>
      </c>
      <c r="D43" s="93"/>
      <c r="E43" s="93"/>
      <c r="F43" s="104" t="s">
        <v>35</v>
      </c>
      <c r="G43" s="95">
        <f t="shared" ref="G43:P43" si="10">SUM(G44:G46)</f>
        <v>2506879</v>
      </c>
      <c r="H43" s="96">
        <f t="shared" si="10"/>
        <v>206315.72999999998</v>
      </c>
      <c r="I43" s="6" t="e">
        <f t="shared" si="10"/>
        <v>#REF!</v>
      </c>
      <c r="J43" s="96">
        <f t="shared" si="10"/>
        <v>208973.74</v>
      </c>
      <c r="K43" s="96">
        <f t="shared" si="10"/>
        <v>208973.74</v>
      </c>
      <c r="L43" s="96">
        <f t="shared" si="10"/>
        <v>202912.02100000001</v>
      </c>
      <c r="M43" s="96">
        <f t="shared" si="10"/>
        <v>208973.74</v>
      </c>
      <c r="N43" s="105">
        <f t="shared" si="10"/>
        <v>208973.74</v>
      </c>
      <c r="O43" s="118">
        <f t="shared" si="10"/>
        <v>1245122.7110000001</v>
      </c>
      <c r="P43" s="202">
        <f t="shared" si="10"/>
        <v>1261756.2889999999</v>
      </c>
    </row>
    <row r="44" spans="1:16" ht="31.5" x14ac:dyDescent="0.25">
      <c r="A44" s="85">
        <v>2</v>
      </c>
      <c r="B44" s="85">
        <v>1</v>
      </c>
      <c r="C44" s="92">
        <v>5</v>
      </c>
      <c r="D44" s="85">
        <v>1</v>
      </c>
      <c r="E44" s="85"/>
      <c r="F44" s="99" t="s">
        <v>36</v>
      </c>
      <c r="G44" s="107">
        <v>1128795</v>
      </c>
      <c r="H44" s="109">
        <v>92444.4</v>
      </c>
      <c r="I44" s="13" t="e">
        <f>+G44-#REF!</f>
        <v>#REF!</v>
      </c>
      <c r="J44" s="109">
        <v>94075.8</v>
      </c>
      <c r="K44" s="109">
        <v>94075.8</v>
      </c>
      <c r="L44" s="109">
        <f>94075.801-6061.72</f>
        <v>88014.081000000006</v>
      </c>
      <c r="M44" s="109">
        <v>94075.8</v>
      </c>
      <c r="N44" s="110">
        <v>94075.8</v>
      </c>
      <c r="O44" s="103">
        <f>+H44+J44+K44+L44+M44+N44</f>
        <v>556761.68099999998</v>
      </c>
      <c r="P44" s="208">
        <f>+G44-O44</f>
        <v>572033.31900000002</v>
      </c>
    </row>
    <row r="45" spans="1:16" ht="31.5" x14ac:dyDescent="0.25">
      <c r="A45" s="85">
        <v>2</v>
      </c>
      <c r="B45" s="85">
        <v>1</v>
      </c>
      <c r="C45" s="92">
        <v>5</v>
      </c>
      <c r="D45" s="85">
        <v>2</v>
      </c>
      <c r="E45" s="85"/>
      <c r="F45" s="99" t="s">
        <v>37</v>
      </c>
      <c r="G45" s="108">
        <v>1247325</v>
      </c>
      <c r="H45" s="110">
        <v>103292.95</v>
      </c>
      <c r="I45" s="12" t="e">
        <f>+G45-#REF!</f>
        <v>#REF!</v>
      </c>
      <c r="J45" s="110">
        <v>104002.95</v>
      </c>
      <c r="K45" s="110">
        <v>104002.95</v>
      </c>
      <c r="L45" s="110">
        <v>104002.95</v>
      </c>
      <c r="M45" s="110">
        <v>104002.95</v>
      </c>
      <c r="N45" s="110">
        <v>104002.95</v>
      </c>
      <c r="O45" s="103">
        <f>+H45+J45+K45+L45+M45+N45</f>
        <v>623307.69999999995</v>
      </c>
      <c r="P45" s="207">
        <f>+G45-O45</f>
        <v>624017.30000000005</v>
      </c>
    </row>
    <row r="46" spans="1:16" ht="15.75" x14ac:dyDescent="0.25">
      <c r="A46" s="85">
        <v>2</v>
      </c>
      <c r="B46" s="85">
        <v>1</v>
      </c>
      <c r="C46" s="92">
        <v>5</v>
      </c>
      <c r="D46" s="85">
        <v>3</v>
      </c>
      <c r="E46" s="85"/>
      <c r="F46" s="106" t="s">
        <v>38</v>
      </c>
      <c r="G46" s="108">
        <v>130759</v>
      </c>
      <c r="H46" s="110">
        <v>10578.38</v>
      </c>
      <c r="I46" s="12" t="e">
        <f>+G46-#REF!</f>
        <v>#REF!</v>
      </c>
      <c r="J46" s="110">
        <v>10894.99</v>
      </c>
      <c r="K46" s="110">
        <v>10894.99</v>
      </c>
      <c r="L46" s="110">
        <v>10894.99</v>
      </c>
      <c r="M46" s="110">
        <v>10894.99</v>
      </c>
      <c r="N46" s="110">
        <v>10894.99</v>
      </c>
      <c r="O46" s="103">
        <f>+H46+J46+K46+L46+M46+N46</f>
        <v>65053.329999999994</v>
      </c>
      <c r="P46" s="207">
        <f>+G46-O46</f>
        <v>65705.670000000013</v>
      </c>
    </row>
    <row r="47" spans="1:16" ht="15.75" x14ac:dyDescent="0.25">
      <c r="A47" s="85"/>
      <c r="B47" s="85"/>
      <c r="C47" s="92"/>
      <c r="D47" s="85"/>
      <c r="E47" s="85"/>
      <c r="F47" s="106"/>
      <c r="G47" s="108"/>
      <c r="H47" s="110"/>
      <c r="I47" s="12"/>
      <c r="J47" s="110"/>
      <c r="K47" s="110"/>
      <c r="L47" s="110"/>
      <c r="M47" s="110"/>
      <c r="N47" s="110"/>
      <c r="O47" s="110"/>
      <c r="P47" s="207"/>
    </row>
    <row r="48" spans="1:16" ht="16.5" thickBot="1" x14ac:dyDescent="0.3">
      <c r="A48" s="85">
        <v>2</v>
      </c>
      <c r="B48" s="85">
        <v>2</v>
      </c>
      <c r="C48" s="92"/>
      <c r="D48" s="85"/>
      <c r="E48" s="93"/>
      <c r="F48" s="94" t="s">
        <v>39</v>
      </c>
      <c r="G48" s="95">
        <f t="shared" ref="G48:P48" si="11">G49+G57+G61+G65+G69+G83+G91+G78+G106</f>
        <v>18307031</v>
      </c>
      <c r="H48" s="105">
        <f t="shared" si="11"/>
        <v>1340446.24</v>
      </c>
      <c r="I48" s="10" t="e">
        <f t="shared" si="11"/>
        <v>#REF!</v>
      </c>
      <c r="J48" s="105">
        <f t="shared" si="11"/>
        <v>1520971.4000000001</v>
      </c>
      <c r="K48" s="105">
        <f t="shared" si="11"/>
        <v>1562030.84</v>
      </c>
      <c r="L48" s="105">
        <f t="shared" si="11"/>
        <v>2163287.7000000002</v>
      </c>
      <c r="M48" s="105">
        <f t="shared" si="11"/>
        <v>1933250.05</v>
      </c>
      <c r="N48" s="105">
        <f t="shared" si="11"/>
        <v>1878724.8000000003</v>
      </c>
      <c r="O48" s="105">
        <f t="shared" si="11"/>
        <v>10398711.029999999</v>
      </c>
      <c r="P48" s="206">
        <f t="shared" si="11"/>
        <v>7908319.9700000007</v>
      </c>
    </row>
    <row r="49" spans="1:16" ht="16.5" thickBot="1" x14ac:dyDescent="0.3">
      <c r="A49" s="85">
        <v>2</v>
      </c>
      <c r="B49" s="85">
        <v>2</v>
      </c>
      <c r="C49" s="92">
        <v>1</v>
      </c>
      <c r="D49" s="85"/>
      <c r="E49" s="93"/>
      <c r="F49" s="94" t="s">
        <v>40</v>
      </c>
      <c r="G49" s="112">
        <f t="shared" ref="G49:P49" si="12">G50+G51+G52+G54</f>
        <v>1401915</v>
      </c>
      <c r="H49" s="96">
        <f t="shared" si="12"/>
        <v>122900.01999999999</v>
      </c>
      <c r="I49" s="6" t="e">
        <f t="shared" si="12"/>
        <v>#REF!</v>
      </c>
      <c r="J49" s="96">
        <f t="shared" si="12"/>
        <v>121985.62</v>
      </c>
      <c r="K49" s="96">
        <f t="shared" si="12"/>
        <v>120045.4</v>
      </c>
      <c r="L49" s="96">
        <f t="shared" si="12"/>
        <v>164988.94</v>
      </c>
      <c r="M49" s="96">
        <f t="shared" si="12"/>
        <v>121623.14</v>
      </c>
      <c r="N49" s="113">
        <f t="shared" si="12"/>
        <v>137949.64000000001</v>
      </c>
      <c r="O49" s="113">
        <f t="shared" si="12"/>
        <v>789492.76</v>
      </c>
      <c r="P49" s="202">
        <f t="shared" si="12"/>
        <v>612422.24</v>
      </c>
    </row>
    <row r="50" spans="1:16" ht="15.75" x14ac:dyDescent="0.25">
      <c r="A50" s="85">
        <v>2</v>
      </c>
      <c r="B50" s="85">
        <v>2</v>
      </c>
      <c r="C50" s="92">
        <v>1</v>
      </c>
      <c r="D50" s="85">
        <v>3</v>
      </c>
      <c r="E50" s="85"/>
      <c r="F50" s="99" t="s">
        <v>41</v>
      </c>
      <c r="G50" s="107">
        <v>336000</v>
      </c>
      <c r="H50" s="109">
        <f>47963.82+22207.42+2155</f>
        <v>72326.239999999991</v>
      </c>
      <c r="I50" s="13" t="e">
        <f>+G50-#REF!</f>
        <v>#REF!</v>
      </c>
      <c r="J50" s="109">
        <f>8785.14+2212.21+22518.17+31889</f>
        <v>65404.52</v>
      </c>
      <c r="K50" s="109">
        <f>31889+22264.93+2041</f>
        <v>56194.93</v>
      </c>
      <c r="L50" s="109">
        <f>22125.78+42779+2041</f>
        <v>66945.78</v>
      </c>
      <c r="M50" s="109">
        <f>31893.55+22075.97+2041</f>
        <v>56010.520000000004</v>
      </c>
      <c r="N50" s="110">
        <f>21949.11+31889+2041+18886.02</f>
        <v>74765.13</v>
      </c>
      <c r="O50" s="103">
        <f>+H50+J50+K50+L50+M50+N50</f>
        <v>391647.12</v>
      </c>
      <c r="P50" s="208">
        <f>+G50-O50</f>
        <v>-55647.119999999995</v>
      </c>
    </row>
    <row r="51" spans="1:16" ht="15.75" x14ac:dyDescent="0.25">
      <c r="A51" s="85">
        <v>2</v>
      </c>
      <c r="B51" s="85">
        <v>2</v>
      </c>
      <c r="C51" s="92">
        <v>1</v>
      </c>
      <c r="D51" s="85">
        <v>4</v>
      </c>
      <c r="E51" s="85"/>
      <c r="F51" s="99" t="s">
        <v>42</v>
      </c>
      <c r="G51" s="108">
        <v>47822</v>
      </c>
      <c r="H51" s="110"/>
      <c r="I51" s="12"/>
      <c r="J51" s="110"/>
      <c r="K51" s="110"/>
      <c r="L51" s="110"/>
      <c r="M51" s="110"/>
      <c r="N51" s="110"/>
      <c r="O51" s="103">
        <f>+H51+J51+K51+L51+M51+N51</f>
        <v>0</v>
      </c>
      <c r="P51" s="207">
        <f>+G51-O51</f>
        <v>47822</v>
      </c>
    </row>
    <row r="52" spans="1:16" ht="31.5" x14ac:dyDescent="0.25">
      <c r="A52" s="85">
        <v>2</v>
      </c>
      <c r="B52" s="85">
        <v>2</v>
      </c>
      <c r="C52" s="92">
        <v>1</v>
      </c>
      <c r="D52" s="85">
        <v>5</v>
      </c>
      <c r="E52" s="85"/>
      <c r="F52" s="99" t="s">
        <v>43</v>
      </c>
      <c r="G52" s="108">
        <v>346093</v>
      </c>
      <c r="H52" s="110"/>
      <c r="I52" s="12" t="e">
        <f>+G52-#REF!</f>
        <v>#REF!</v>
      </c>
      <c r="J52" s="110"/>
      <c r="K52" s="110">
        <v>9289.85</v>
      </c>
      <c r="L52" s="110">
        <v>40068.33</v>
      </c>
      <c r="M52" s="110"/>
      <c r="N52" s="110"/>
      <c r="O52" s="103">
        <f>+H52+J52+K52+L52+M52+N52</f>
        <v>49358.18</v>
      </c>
      <c r="P52" s="207">
        <f>+G52-O52</f>
        <v>296734.82</v>
      </c>
    </row>
    <row r="53" spans="1:16" ht="15.75" x14ac:dyDescent="0.25">
      <c r="A53" s="85"/>
      <c r="B53" s="85"/>
      <c r="C53" s="92"/>
      <c r="D53" s="85"/>
      <c r="E53" s="85"/>
      <c r="F53" s="99"/>
      <c r="G53" s="108"/>
      <c r="H53" s="110"/>
      <c r="I53" s="12"/>
      <c r="J53" s="110"/>
      <c r="K53" s="110"/>
      <c r="L53" s="110"/>
      <c r="M53" s="110"/>
      <c r="N53" s="110"/>
      <c r="O53" s="110"/>
      <c r="P53" s="207"/>
    </row>
    <row r="54" spans="1:16" ht="16.5" thickBot="1" x14ac:dyDescent="0.3">
      <c r="A54" s="85">
        <v>2</v>
      </c>
      <c r="B54" s="85">
        <v>2</v>
      </c>
      <c r="C54" s="92">
        <v>1</v>
      </c>
      <c r="D54" s="85">
        <v>6</v>
      </c>
      <c r="E54" s="85"/>
      <c r="F54" s="104" t="s">
        <v>44</v>
      </c>
      <c r="G54" s="95">
        <f t="shared" ref="G54:L54" si="13">G55</f>
        <v>672000</v>
      </c>
      <c r="H54" s="117">
        <f t="shared" si="13"/>
        <v>50573.78</v>
      </c>
      <c r="I54" s="19" t="e">
        <f t="shared" si="13"/>
        <v>#REF!</v>
      </c>
      <c r="J54" s="117">
        <f t="shared" si="13"/>
        <v>56581.1</v>
      </c>
      <c r="K54" s="117">
        <f t="shared" si="13"/>
        <v>54560.62</v>
      </c>
      <c r="L54" s="117">
        <f t="shared" si="13"/>
        <v>57974.83</v>
      </c>
      <c r="M54" s="117">
        <f>M55</f>
        <v>65612.62</v>
      </c>
      <c r="N54" s="117">
        <f>N55</f>
        <v>63184.51</v>
      </c>
      <c r="O54" s="117">
        <f>O55</f>
        <v>348487.46</v>
      </c>
      <c r="P54" s="211">
        <f>P55</f>
        <v>323512.53999999998</v>
      </c>
    </row>
    <row r="55" spans="1:16" ht="15.75" x14ac:dyDescent="0.25">
      <c r="A55" s="85">
        <v>2</v>
      </c>
      <c r="B55" s="85">
        <v>2</v>
      </c>
      <c r="C55" s="92">
        <v>1</v>
      </c>
      <c r="D55" s="85">
        <v>6</v>
      </c>
      <c r="E55" s="85">
        <v>1</v>
      </c>
      <c r="F55" s="99" t="s">
        <v>45</v>
      </c>
      <c r="G55" s="107">
        <v>672000</v>
      </c>
      <c r="H55" s="110">
        <v>50573.78</v>
      </c>
      <c r="I55" s="13" t="e">
        <f>+G55-#REF!</f>
        <v>#REF!</v>
      </c>
      <c r="J55" s="110">
        <v>56581.1</v>
      </c>
      <c r="K55" s="110">
        <v>54560.62</v>
      </c>
      <c r="L55" s="110">
        <v>57974.83</v>
      </c>
      <c r="M55" s="110">
        <v>65612.62</v>
      </c>
      <c r="N55" s="109">
        <v>63184.51</v>
      </c>
      <c r="O55" s="182">
        <f>+H55+J55+K55+L55+M55+N55</f>
        <v>348487.46</v>
      </c>
      <c r="P55" s="208">
        <f>+G55-O55</f>
        <v>323512.53999999998</v>
      </c>
    </row>
    <row r="56" spans="1:16" ht="15.75" x14ac:dyDescent="0.25">
      <c r="A56" s="85"/>
      <c r="B56" s="85"/>
      <c r="C56" s="92"/>
      <c r="D56" s="85"/>
      <c r="E56" s="85"/>
      <c r="F56" s="99"/>
      <c r="G56" s="108"/>
      <c r="H56" s="110"/>
      <c r="I56" s="12"/>
      <c r="J56" s="110"/>
      <c r="K56" s="110"/>
      <c r="L56" s="110"/>
      <c r="M56" s="110"/>
      <c r="N56" s="110"/>
      <c r="O56" s="110"/>
      <c r="P56" s="207"/>
    </row>
    <row r="57" spans="1:16" ht="32.25" thickBot="1" x14ac:dyDescent="0.3">
      <c r="A57" s="85">
        <v>2</v>
      </c>
      <c r="B57" s="85">
        <v>2</v>
      </c>
      <c r="C57" s="92">
        <v>2</v>
      </c>
      <c r="D57" s="85"/>
      <c r="E57" s="85"/>
      <c r="F57" s="104" t="s">
        <v>46</v>
      </c>
      <c r="G57" s="95">
        <f>SUM(G58:G59)</f>
        <v>175500</v>
      </c>
      <c r="H57" s="96">
        <f t="shared" ref="H57:P57" si="14">H58+H59</f>
        <v>0</v>
      </c>
      <c r="I57" s="20" t="e">
        <f t="shared" si="14"/>
        <v>#REF!</v>
      </c>
      <c r="J57" s="96">
        <f t="shared" si="14"/>
        <v>3325</v>
      </c>
      <c r="K57" s="96">
        <f t="shared" si="14"/>
        <v>7450</v>
      </c>
      <c r="L57" s="96">
        <f t="shared" si="14"/>
        <v>4760</v>
      </c>
      <c r="M57" s="96">
        <f t="shared" si="14"/>
        <v>0</v>
      </c>
      <c r="N57" s="105">
        <f t="shared" si="14"/>
        <v>165100</v>
      </c>
      <c r="O57" s="105">
        <f t="shared" si="14"/>
        <v>180635</v>
      </c>
      <c r="P57" s="212">
        <f t="shared" si="14"/>
        <v>-5135</v>
      </c>
    </row>
    <row r="58" spans="1:16" ht="15.75" x14ac:dyDescent="0.25">
      <c r="A58" s="85">
        <v>2</v>
      </c>
      <c r="B58" s="85">
        <v>2</v>
      </c>
      <c r="C58" s="92">
        <v>2</v>
      </c>
      <c r="D58" s="85">
        <v>1</v>
      </c>
      <c r="E58" s="85"/>
      <c r="F58" s="106" t="s">
        <v>47</v>
      </c>
      <c r="G58" s="107">
        <v>175500</v>
      </c>
      <c r="H58" s="109"/>
      <c r="I58" s="12" t="e">
        <f>+G58-#REF!</f>
        <v>#REF!</v>
      </c>
      <c r="J58" s="109">
        <v>3100</v>
      </c>
      <c r="K58" s="109">
        <v>3450</v>
      </c>
      <c r="L58" s="109">
        <v>0</v>
      </c>
      <c r="M58" s="109"/>
      <c r="N58" s="110">
        <v>165000</v>
      </c>
      <c r="O58" s="103">
        <f>+H58+J58+K58+L58+M58+N58</f>
        <v>171550</v>
      </c>
      <c r="P58" s="207">
        <f>+G58-O58</f>
        <v>3950</v>
      </c>
    </row>
    <row r="59" spans="1:16" ht="15.75" x14ac:dyDescent="0.25">
      <c r="A59" s="85">
        <v>2</v>
      </c>
      <c r="B59" s="85">
        <v>2</v>
      </c>
      <c r="C59" s="92">
        <v>2</v>
      </c>
      <c r="D59" s="85">
        <v>2</v>
      </c>
      <c r="E59" s="85"/>
      <c r="F59" s="106" t="s">
        <v>48</v>
      </c>
      <c r="G59" s="108"/>
      <c r="H59" s="110"/>
      <c r="I59" s="12" t="e">
        <f>+G59-#REF!</f>
        <v>#REF!</v>
      </c>
      <c r="J59" s="110">
        <v>225</v>
      </c>
      <c r="K59" s="110">
        <v>4000</v>
      </c>
      <c r="L59" s="110">
        <v>4760</v>
      </c>
      <c r="M59" s="110"/>
      <c r="N59" s="110">
        <v>100</v>
      </c>
      <c r="O59" s="103">
        <f>+H59+J59+K59+L59+M59+N59</f>
        <v>9085</v>
      </c>
      <c r="P59" s="207">
        <f>+G59-O59</f>
        <v>-9085</v>
      </c>
    </row>
    <row r="60" spans="1:16" ht="15.75" x14ac:dyDescent="0.25">
      <c r="A60" s="85"/>
      <c r="B60" s="85"/>
      <c r="C60" s="92"/>
      <c r="D60" s="85"/>
      <c r="E60" s="85"/>
      <c r="F60" s="99"/>
      <c r="G60" s="108"/>
      <c r="H60" s="110"/>
      <c r="I60" s="12"/>
      <c r="J60" s="110"/>
      <c r="K60" s="110"/>
      <c r="L60" s="110"/>
      <c r="M60" s="110"/>
      <c r="N60" s="110"/>
      <c r="O60" s="110"/>
      <c r="P60" s="207"/>
    </row>
    <row r="61" spans="1:16" ht="16.5" thickBot="1" x14ac:dyDescent="0.3">
      <c r="A61" s="85">
        <v>2</v>
      </c>
      <c r="B61" s="85">
        <v>2</v>
      </c>
      <c r="C61" s="92">
        <v>3</v>
      </c>
      <c r="D61" s="85"/>
      <c r="E61" s="85"/>
      <c r="F61" s="104" t="s">
        <v>49</v>
      </c>
      <c r="G61" s="95">
        <f t="shared" ref="G61:P61" si="15">G62+G63</f>
        <v>550000</v>
      </c>
      <c r="H61" s="105">
        <f t="shared" si="15"/>
        <v>0</v>
      </c>
      <c r="I61" s="10" t="e">
        <f t="shared" si="15"/>
        <v>#REF!</v>
      </c>
      <c r="J61" s="105">
        <f t="shared" si="15"/>
        <v>0</v>
      </c>
      <c r="K61" s="105">
        <f t="shared" si="15"/>
        <v>1600</v>
      </c>
      <c r="L61" s="105">
        <f t="shared" si="15"/>
        <v>90183.12</v>
      </c>
      <c r="M61" s="105">
        <f t="shared" si="15"/>
        <v>130003.2</v>
      </c>
      <c r="N61" s="105">
        <f t="shared" si="15"/>
        <v>0</v>
      </c>
      <c r="O61" s="105">
        <f t="shared" si="15"/>
        <v>221786.32</v>
      </c>
      <c r="P61" s="206">
        <f t="shared" si="15"/>
        <v>328213.68</v>
      </c>
    </row>
    <row r="62" spans="1:16" ht="15.75" x14ac:dyDescent="0.25">
      <c r="A62" s="85">
        <v>2</v>
      </c>
      <c r="B62" s="85">
        <v>2</v>
      </c>
      <c r="C62" s="92">
        <v>3</v>
      </c>
      <c r="D62" s="85">
        <v>1</v>
      </c>
      <c r="E62" s="119"/>
      <c r="F62" s="106" t="s">
        <v>50</v>
      </c>
      <c r="G62" s="100"/>
      <c r="H62" s="101"/>
      <c r="I62" s="8" t="e">
        <f>+G62-#REF!</f>
        <v>#REF!</v>
      </c>
      <c r="J62" s="101"/>
      <c r="K62" s="101">
        <f>1000+300+300</f>
        <v>1600</v>
      </c>
      <c r="L62" s="101">
        <f>2000+500+1000+1000</f>
        <v>4500</v>
      </c>
      <c r="M62" s="101"/>
      <c r="N62" s="96"/>
      <c r="O62" s="103">
        <f>+H62+J62+K62+L62+M62+N62</f>
        <v>6100</v>
      </c>
      <c r="P62" s="204">
        <f>+G62-O62</f>
        <v>-6100</v>
      </c>
    </row>
    <row r="63" spans="1:16" ht="15.75" x14ac:dyDescent="0.25">
      <c r="A63" s="85">
        <v>2</v>
      </c>
      <c r="B63" s="85">
        <v>2</v>
      </c>
      <c r="C63" s="92">
        <v>3</v>
      </c>
      <c r="D63" s="85">
        <v>2</v>
      </c>
      <c r="E63" s="119"/>
      <c r="F63" s="106" t="s">
        <v>51</v>
      </c>
      <c r="G63" s="108">
        <v>550000</v>
      </c>
      <c r="H63" s="110"/>
      <c r="I63" s="12" t="e">
        <f>+G63-#REF!</f>
        <v>#REF!</v>
      </c>
      <c r="J63" s="110"/>
      <c r="K63" s="110"/>
      <c r="L63" s="110">
        <v>85683.12</v>
      </c>
      <c r="M63" s="110">
        <v>130003.2</v>
      </c>
      <c r="N63" s="110"/>
      <c r="O63" s="103">
        <f>+H63+J63+K63+L63+M63+N63</f>
        <v>215686.32</v>
      </c>
      <c r="P63" s="207">
        <f>+G63-O63</f>
        <v>334313.68</v>
      </c>
    </row>
    <row r="64" spans="1:16" ht="15.75" x14ac:dyDescent="0.25">
      <c r="A64" s="85"/>
      <c r="B64" s="85"/>
      <c r="C64" s="92"/>
      <c r="D64" s="85"/>
      <c r="E64" s="85"/>
      <c r="F64" s="106"/>
      <c r="G64" s="108"/>
      <c r="H64" s="110"/>
      <c r="I64" s="12" t="e">
        <f>+G64-#REF!</f>
        <v>#REF!</v>
      </c>
      <c r="J64" s="110"/>
      <c r="K64" s="110"/>
      <c r="L64" s="110"/>
      <c r="M64" s="110"/>
      <c r="N64" s="110"/>
      <c r="O64" s="110"/>
      <c r="P64" s="207">
        <f>+G64-O64</f>
        <v>0</v>
      </c>
    </row>
    <row r="65" spans="1:16" ht="16.5" thickBot="1" x14ac:dyDescent="0.3">
      <c r="A65" s="85">
        <v>2</v>
      </c>
      <c r="B65" s="85">
        <v>2</v>
      </c>
      <c r="C65" s="92">
        <v>4</v>
      </c>
      <c r="D65" s="85"/>
      <c r="E65" s="85"/>
      <c r="F65" s="104" t="s">
        <v>52</v>
      </c>
      <c r="G65" s="95">
        <f>G66+G67</f>
        <v>280000</v>
      </c>
      <c r="H65" s="105">
        <f>H66+H67</f>
        <v>6910.99</v>
      </c>
      <c r="I65" s="10" t="e">
        <f>+G65-#REF!</f>
        <v>#REF!</v>
      </c>
      <c r="J65" s="105">
        <f t="shared" ref="J65:O65" si="16">J66+J67</f>
        <v>1600</v>
      </c>
      <c r="K65" s="105">
        <f t="shared" si="16"/>
        <v>5688.34</v>
      </c>
      <c r="L65" s="105">
        <f t="shared" si="16"/>
        <v>17923.03</v>
      </c>
      <c r="M65" s="105">
        <f t="shared" si="16"/>
        <v>35708.619999999995</v>
      </c>
      <c r="N65" s="105">
        <f t="shared" si="16"/>
        <v>4330.1899999999996</v>
      </c>
      <c r="O65" s="105">
        <f t="shared" si="16"/>
        <v>72161.17</v>
      </c>
      <c r="P65" s="206">
        <f>P66+P67+P68</f>
        <v>207838.83000000002</v>
      </c>
    </row>
    <row r="66" spans="1:16" ht="15.75" x14ac:dyDescent="0.25">
      <c r="A66" s="85">
        <v>2</v>
      </c>
      <c r="B66" s="85">
        <v>2</v>
      </c>
      <c r="C66" s="92">
        <v>4</v>
      </c>
      <c r="D66" s="85">
        <v>1</v>
      </c>
      <c r="E66" s="85"/>
      <c r="F66" s="106" t="s">
        <v>53</v>
      </c>
      <c r="G66" s="107">
        <v>280000</v>
      </c>
      <c r="H66" s="110">
        <f>780+6130.99</f>
        <v>6910.99</v>
      </c>
      <c r="I66" s="12" t="e">
        <f>+G66-#REF!</f>
        <v>#REF!</v>
      </c>
      <c r="J66" s="110">
        <f>200+100+100+200+300+200+200+300</f>
        <v>1600</v>
      </c>
      <c r="K66" s="110">
        <f>4338.34+100+100+100+100+100+100+200+50+100+100+100+100+100</f>
        <v>5688.34</v>
      </c>
      <c r="L66" s="110">
        <f>10037.83+100+100+100+7585.2</f>
        <v>17923.03</v>
      </c>
      <c r="M66" s="110">
        <f>26358.62+6850+300+500+300+500+700+200</f>
        <v>35708.619999999995</v>
      </c>
      <c r="N66" s="109">
        <f>4130.19+100+100</f>
        <v>4330.1899999999996</v>
      </c>
      <c r="O66" s="182">
        <f>+H66+J66+K66+L66+M66+N66</f>
        <v>72161.17</v>
      </c>
      <c r="P66" s="207">
        <f>+G66-O66</f>
        <v>207838.83000000002</v>
      </c>
    </row>
    <row r="67" spans="1:16" ht="15.75" x14ac:dyDescent="0.25">
      <c r="A67" s="85">
        <v>2</v>
      </c>
      <c r="B67" s="85">
        <v>2</v>
      </c>
      <c r="C67" s="92">
        <v>4</v>
      </c>
      <c r="D67" s="85">
        <v>3</v>
      </c>
      <c r="E67" s="85"/>
      <c r="F67" s="106" t="s">
        <v>54</v>
      </c>
      <c r="G67" s="108"/>
      <c r="H67" s="110">
        <v>0</v>
      </c>
      <c r="I67" s="12" t="e">
        <f>+G67-#REF!</f>
        <v>#REF!</v>
      </c>
      <c r="J67" s="110">
        <v>0</v>
      </c>
      <c r="K67" s="110"/>
      <c r="L67" s="110"/>
      <c r="M67" s="110"/>
      <c r="N67" s="110"/>
      <c r="O67" s="110">
        <f>+H67+J67+K67+L67+M67+N67</f>
        <v>0</v>
      </c>
      <c r="P67" s="207">
        <f>+G67-O67</f>
        <v>0</v>
      </c>
    </row>
    <row r="68" spans="1:16" ht="15.75" x14ac:dyDescent="0.25">
      <c r="A68" s="85"/>
      <c r="B68" s="85"/>
      <c r="C68" s="92"/>
      <c r="D68" s="85"/>
      <c r="E68" s="85"/>
      <c r="F68" s="106"/>
      <c r="G68" s="108"/>
      <c r="H68" s="110"/>
      <c r="I68" s="12" t="e">
        <f>+G68-#REF!</f>
        <v>#REF!</v>
      </c>
      <c r="J68" s="110"/>
      <c r="K68" s="110"/>
      <c r="L68" s="110"/>
      <c r="M68" s="110"/>
      <c r="N68" s="110"/>
      <c r="O68" s="110"/>
      <c r="P68" s="207">
        <f>+G68-O68</f>
        <v>0</v>
      </c>
    </row>
    <row r="69" spans="1:16" ht="16.5" thickBot="1" x14ac:dyDescent="0.3">
      <c r="A69" s="85">
        <v>2</v>
      </c>
      <c r="B69" s="85">
        <v>2</v>
      </c>
      <c r="C69" s="92">
        <v>5</v>
      </c>
      <c r="D69" s="85"/>
      <c r="E69" s="85"/>
      <c r="F69" s="104" t="s">
        <v>55</v>
      </c>
      <c r="G69" s="95">
        <f>G70+G75</f>
        <v>10015311</v>
      </c>
      <c r="H69" s="96">
        <f t="shared" ref="H69:P69" si="17">H72+H70</f>
        <v>792285.26</v>
      </c>
      <c r="I69" s="6" t="e">
        <f t="shared" si="17"/>
        <v>#REF!</v>
      </c>
      <c r="J69" s="96">
        <f t="shared" si="17"/>
        <v>801242.44</v>
      </c>
      <c r="K69" s="96">
        <f t="shared" si="17"/>
        <v>801396.64</v>
      </c>
      <c r="L69" s="96">
        <f t="shared" si="17"/>
        <v>806109.24</v>
      </c>
      <c r="M69" s="96">
        <f t="shared" si="17"/>
        <v>792121.59</v>
      </c>
      <c r="N69" s="105">
        <f t="shared" si="17"/>
        <v>806673.29</v>
      </c>
      <c r="O69" s="105">
        <f t="shared" si="17"/>
        <v>4799828.46</v>
      </c>
      <c r="P69" s="202">
        <f t="shared" si="17"/>
        <v>5215482.54</v>
      </c>
    </row>
    <row r="70" spans="1:16" ht="31.5" x14ac:dyDescent="0.25">
      <c r="A70" s="85">
        <v>2</v>
      </c>
      <c r="B70" s="85">
        <v>2</v>
      </c>
      <c r="C70" s="92">
        <v>5</v>
      </c>
      <c r="D70" s="85">
        <v>1</v>
      </c>
      <c r="E70" s="85"/>
      <c r="F70" s="99" t="s">
        <v>56</v>
      </c>
      <c r="G70" s="107">
        <v>9685383</v>
      </c>
      <c r="H70" s="109">
        <f>17098.97+766926.29</f>
        <v>784025.26</v>
      </c>
      <c r="I70" s="13" t="e">
        <f>+G70-#REF!</f>
        <v>#REF!</v>
      </c>
      <c r="J70" s="109">
        <f>17294.32+775688.12</f>
        <v>792982.44</v>
      </c>
      <c r="K70" s="109">
        <f>17297.68+775838.96</f>
        <v>793136.64000000001</v>
      </c>
      <c r="L70" s="109">
        <f>17400.46+780448.78</f>
        <v>797849.24</v>
      </c>
      <c r="M70" s="109">
        <f>766766.19+17095.4</f>
        <v>783861.59</v>
      </c>
      <c r="N70" s="110">
        <f>17412.76+781000.53</f>
        <v>798413.29</v>
      </c>
      <c r="O70" s="103">
        <f>+H70+J70+K70+L70+M70+N70</f>
        <v>4750268.46</v>
      </c>
      <c r="P70" s="208">
        <f>+G70-O70</f>
        <v>4935114.54</v>
      </c>
    </row>
    <row r="71" spans="1:16" ht="15.75" x14ac:dyDescent="0.25">
      <c r="A71" s="85"/>
      <c r="B71" s="85"/>
      <c r="C71" s="92"/>
      <c r="D71" s="85"/>
      <c r="E71" s="119"/>
      <c r="F71" s="106"/>
      <c r="G71" s="108"/>
      <c r="H71" s="110"/>
      <c r="I71" s="12"/>
      <c r="J71" s="110"/>
      <c r="K71" s="110"/>
      <c r="L71" s="110"/>
      <c r="M71" s="110"/>
      <c r="N71" s="110"/>
      <c r="O71" s="110"/>
      <c r="P71" s="207"/>
    </row>
    <row r="72" spans="1:16" ht="32.25" thickBot="1" x14ac:dyDescent="0.3">
      <c r="A72" s="85">
        <v>2</v>
      </c>
      <c r="B72" s="85">
        <v>2</v>
      </c>
      <c r="C72" s="92">
        <v>5</v>
      </c>
      <c r="D72" s="85">
        <v>3</v>
      </c>
      <c r="E72" s="93"/>
      <c r="F72" s="104" t="s">
        <v>57</v>
      </c>
      <c r="G72" s="95">
        <f t="shared" ref="G72:P72" si="18">G73+G74+G75</f>
        <v>329928</v>
      </c>
      <c r="H72" s="105">
        <f t="shared" si="18"/>
        <v>8260</v>
      </c>
      <c r="I72" s="10" t="e">
        <f t="shared" si="18"/>
        <v>#REF!</v>
      </c>
      <c r="J72" s="105">
        <f t="shared" si="18"/>
        <v>8260</v>
      </c>
      <c r="K72" s="105">
        <f t="shared" si="18"/>
        <v>8260</v>
      </c>
      <c r="L72" s="105">
        <f t="shared" si="18"/>
        <v>8260</v>
      </c>
      <c r="M72" s="105">
        <f>M73+M74+M75</f>
        <v>8260</v>
      </c>
      <c r="N72" s="105">
        <f>N73+N74+N75</f>
        <v>8260</v>
      </c>
      <c r="O72" s="105">
        <f t="shared" si="18"/>
        <v>49560</v>
      </c>
      <c r="P72" s="206">
        <f t="shared" si="18"/>
        <v>280368</v>
      </c>
    </row>
    <row r="73" spans="1:16" ht="15.75" x14ac:dyDescent="0.25">
      <c r="A73" s="85">
        <v>2</v>
      </c>
      <c r="B73" s="85">
        <v>2</v>
      </c>
      <c r="C73" s="92">
        <v>5</v>
      </c>
      <c r="D73" s="85">
        <v>3</v>
      </c>
      <c r="E73" s="85">
        <v>2</v>
      </c>
      <c r="F73" s="99" t="s">
        <v>58</v>
      </c>
      <c r="G73" s="107"/>
      <c r="H73" s="110">
        <v>0</v>
      </c>
      <c r="I73" s="12" t="e">
        <f>+G73-#REF!</f>
        <v>#REF!</v>
      </c>
      <c r="J73" s="110">
        <v>0</v>
      </c>
      <c r="K73" s="110"/>
      <c r="L73" s="110"/>
      <c r="M73" s="110"/>
      <c r="N73" s="110"/>
      <c r="O73" s="103">
        <f>+H73+J73+K73+L73+M73+N73</f>
        <v>0</v>
      </c>
      <c r="P73" s="207">
        <f>+G73-O73</f>
        <v>0</v>
      </c>
    </row>
    <row r="74" spans="1:16" ht="31.5" x14ac:dyDescent="0.25">
      <c r="A74" s="85">
        <v>2</v>
      </c>
      <c r="B74" s="85">
        <v>2</v>
      </c>
      <c r="C74" s="92">
        <v>5</v>
      </c>
      <c r="D74" s="85">
        <v>3</v>
      </c>
      <c r="E74" s="85">
        <v>3</v>
      </c>
      <c r="F74" s="99" t="s">
        <v>59</v>
      </c>
      <c r="G74" s="108"/>
      <c r="H74" s="110"/>
      <c r="I74" s="12" t="e">
        <f>+G74-#REF!</f>
        <v>#REF!</v>
      </c>
      <c r="J74" s="110"/>
      <c r="K74" s="110"/>
      <c r="L74" s="110"/>
      <c r="M74" s="110"/>
      <c r="N74" s="110"/>
      <c r="O74" s="103">
        <f>+H74+J74+K74+L74+M74+N74</f>
        <v>0</v>
      </c>
      <c r="P74" s="207">
        <f>+G74-O74</f>
        <v>0</v>
      </c>
    </row>
    <row r="75" spans="1:16" ht="31.5" x14ac:dyDescent="0.25">
      <c r="A75" s="85">
        <v>2</v>
      </c>
      <c r="B75" s="85">
        <v>2</v>
      </c>
      <c r="C75" s="92">
        <v>5</v>
      </c>
      <c r="D75" s="85">
        <v>3</v>
      </c>
      <c r="E75" s="85">
        <v>4</v>
      </c>
      <c r="F75" s="99" t="s">
        <v>60</v>
      </c>
      <c r="G75" s="108">
        <v>329928</v>
      </c>
      <c r="H75" s="110">
        <v>8260</v>
      </c>
      <c r="I75" s="12" t="e">
        <f>+G75-#REF!</f>
        <v>#REF!</v>
      </c>
      <c r="J75" s="110">
        <v>8260</v>
      </c>
      <c r="K75" s="110">
        <v>8260</v>
      </c>
      <c r="L75" s="110">
        <v>8260</v>
      </c>
      <c r="M75" s="110">
        <v>8260</v>
      </c>
      <c r="N75" s="110">
        <v>8260</v>
      </c>
      <c r="O75" s="103">
        <f>+H75+J75+K75+L75+M75+N75</f>
        <v>49560</v>
      </c>
      <c r="P75" s="207">
        <f>+G75-O75</f>
        <v>280368</v>
      </c>
    </row>
    <row r="76" spans="1:16" ht="15.75" x14ac:dyDescent="0.25">
      <c r="A76" s="85"/>
      <c r="B76" s="85"/>
      <c r="C76" s="92"/>
      <c r="D76" s="85"/>
      <c r="E76" s="85"/>
      <c r="F76" s="99"/>
      <c r="G76" s="108"/>
      <c r="H76" s="110"/>
      <c r="I76" s="12"/>
      <c r="J76" s="110"/>
      <c r="K76" s="110"/>
      <c r="L76" s="110"/>
      <c r="M76" s="110"/>
      <c r="N76" s="110"/>
      <c r="O76" s="110"/>
      <c r="P76" s="207"/>
    </row>
    <row r="77" spans="1:16" ht="16.5" thickBot="1" x14ac:dyDescent="0.3">
      <c r="A77" s="85"/>
      <c r="B77" s="85"/>
      <c r="C77" s="92"/>
      <c r="D77" s="85"/>
      <c r="E77" s="85"/>
      <c r="F77" s="99"/>
      <c r="G77" s="108"/>
      <c r="H77" s="110"/>
      <c r="I77" s="12"/>
      <c r="J77" s="110"/>
      <c r="K77" s="110"/>
      <c r="L77" s="110"/>
      <c r="M77" s="110"/>
      <c r="N77" s="110"/>
      <c r="O77" s="110"/>
      <c r="P77" s="207"/>
    </row>
    <row r="78" spans="1:16" s="21" customFormat="1" ht="16.5" thickBot="1" x14ac:dyDescent="0.3">
      <c r="A78" s="85">
        <v>2</v>
      </c>
      <c r="B78" s="85">
        <v>2</v>
      </c>
      <c r="C78" s="92">
        <v>6</v>
      </c>
      <c r="D78" s="85"/>
      <c r="E78" s="85"/>
      <c r="F78" s="99" t="s">
        <v>61</v>
      </c>
      <c r="G78" s="112">
        <f>G80+G79</f>
        <v>1434252</v>
      </c>
      <c r="H78" s="113">
        <f>H80+H79</f>
        <v>108478.82</v>
      </c>
      <c r="I78" s="113" t="e">
        <f>I80+I79</f>
        <v>#REF!</v>
      </c>
      <c r="J78" s="113">
        <f>J80+J79</f>
        <v>108478.82</v>
      </c>
      <c r="K78" s="113">
        <f t="shared" ref="K78:P78" si="19">K80+K79</f>
        <v>191755.74</v>
      </c>
      <c r="L78" s="113">
        <f t="shared" si="19"/>
        <v>229933.34000000003</v>
      </c>
      <c r="M78" s="113">
        <f t="shared" si="19"/>
        <v>125469</v>
      </c>
      <c r="N78" s="113">
        <f t="shared" si="19"/>
        <v>125468.75</v>
      </c>
      <c r="O78" s="113">
        <f t="shared" si="19"/>
        <v>889584.47</v>
      </c>
      <c r="P78" s="209">
        <f t="shared" si="19"/>
        <v>544667.53</v>
      </c>
    </row>
    <row r="79" spans="1:16" ht="16.5" thickBot="1" x14ac:dyDescent="0.3">
      <c r="A79" s="120">
        <v>2</v>
      </c>
      <c r="B79" s="120">
        <v>2</v>
      </c>
      <c r="C79" s="121">
        <v>6</v>
      </c>
      <c r="D79" s="120">
        <v>2</v>
      </c>
      <c r="E79" s="120">
        <v>1</v>
      </c>
      <c r="F79" s="122" t="s">
        <v>62</v>
      </c>
      <c r="G79" s="123">
        <v>125000</v>
      </c>
      <c r="H79" s="98"/>
      <c r="I79" s="16" t="e">
        <f>+G79-#REF!</f>
        <v>#REF!</v>
      </c>
      <c r="J79" s="98"/>
      <c r="K79" s="98"/>
      <c r="L79" s="98">
        <f>101556.1</f>
        <v>101556.1</v>
      </c>
      <c r="M79" s="98"/>
      <c r="N79" s="98"/>
      <c r="O79" s="130">
        <f>+H79+J79+K79+L79+M79+N79</f>
        <v>101556.1</v>
      </c>
      <c r="P79" s="210">
        <f>+G79-O79</f>
        <v>23443.899999999994</v>
      </c>
    </row>
    <row r="80" spans="1:16" ht="15.75" x14ac:dyDescent="0.25">
      <c r="A80" s="85">
        <v>2</v>
      </c>
      <c r="B80" s="85">
        <v>2</v>
      </c>
      <c r="C80" s="92">
        <v>6</v>
      </c>
      <c r="D80" s="85">
        <v>3</v>
      </c>
      <c r="E80" s="85">
        <v>1</v>
      </c>
      <c r="F80" s="99" t="s">
        <v>63</v>
      </c>
      <c r="G80" s="108">
        <v>1309252</v>
      </c>
      <c r="H80" s="110">
        <v>108478.82</v>
      </c>
      <c r="I80" s="12" t="e">
        <f>+G80-#REF!</f>
        <v>#REF!</v>
      </c>
      <c r="J80" s="110">
        <v>108478.82</v>
      </c>
      <c r="K80" s="110">
        <f>113089.65+39242.96+23071.9+16351.23</f>
        <v>191755.74</v>
      </c>
      <c r="L80" s="110">
        <f>112025.61+16351.63</f>
        <v>128377.24</v>
      </c>
      <c r="M80" s="110">
        <v>125469</v>
      </c>
      <c r="N80" s="110">
        <v>125468.75</v>
      </c>
      <c r="O80" s="103">
        <f>+H80+J80+K80+L80+M80+N80</f>
        <v>788028.37</v>
      </c>
      <c r="P80" s="207">
        <f>+G80-O80</f>
        <v>521223.63</v>
      </c>
    </row>
    <row r="81" spans="1:16" ht="15.75" x14ac:dyDescent="0.25">
      <c r="A81" s="85"/>
      <c r="B81" s="85"/>
      <c r="C81" s="92"/>
      <c r="D81" s="85"/>
      <c r="E81" s="85"/>
      <c r="F81" s="99"/>
      <c r="G81" s="108"/>
      <c r="H81" s="110">
        <v>0</v>
      </c>
      <c r="I81" s="12">
        <v>0</v>
      </c>
      <c r="J81" s="110">
        <v>0</v>
      </c>
      <c r="K81" s="110"/>
      <c r="L81" s="110"/>
      <c r="M81" s="110"/>
      <c r="N81" s="110"/>
      <c r="O81" s="103">
        <f>+H81+J81+K81+L81+M81+N81</f>
        <v>0</v>
      </c>
      <c r="P81" s="207">
        <v>0</v>
      </c>
    </row>
    <row r="82" spans="1:16" ht="15.75" x14ac:dyDescent="0.25">
      <c r="A82" s="85"/>
      <c r="B82" s="85"/>
      <c r="C82" s="92"/>
      <c r="D82" s="85"/>
      <c r="E82" s="85"/>
      <c r="F82" s="99"/>
      <c r="G82" s="108"/>
      <c r="H82" s="110"/>
      <c r="I82" s="12"/>
      <c r="J82" s="110"/>
      <c r="K82" s="110"/>
      <c r="L82" s="110"/>
      <c r="M82" s="110"/>
      <c r="N82" s="110"/>
      <c r="O82" s="110"/>
      <c r="P82" s="207"/>
    </row>
    <row r="83" spans="1:16" ht="48" thickBot="1" x14ac:dyDescent="0.3">
      <c r="A83" s="85">
        <v>2</v>
      </c>
      <c r="B83" s="85">
        <v>2</v>
      </c>
      <c r="C83" s="92">
        <v>7</v>
      </c>
      <c r="D83" s="85"/>
      <c r="E83" s="93"/>
      <c r="F83" s="104" t="s">
        <v>64</v>
      </c>
      <c r="G83" s="125">
        <f>G84</f>
        <v>45117</v>
      </c>
      <c r="H83" s="96">
        <f t="shared" ref="H83:O83" si="20">SUM(H85:H89)</f>
        <v>19800.52</v>
      </c>
      <c r="I83" s="96" t="e">
        <f t="shared" si="20"/>
        <v>#REF!</v>
      </c>
      <c r="J83" s="96">
        <f t="shared" si="20"/>
        <v>650</v>
      </c>
      <c r="K83" s="96">
        <f t="shared" si="20"/>
        <v>0</v>
      </c>
      <c r="L83" s="96">
        <f t="shared" si="20"/>
        <v>4000</v>
      </c>
      <c r="M83" s="96">
        <f t="shared" si="20"/>
        <v>164125.1</v>
      </c>
      <c r="N83" s="96">
        <f t="shared" si="20"/>
        <v>9324.18</v>
      </c>
      <c r="O83" s="96">
        <f t="shared" si="20"/>
        <v>197899.8</v>
      </c>
      <c r="P83" s="202">
        <f>SUM(P85:P90)</f>
        <v>-152782.79999999999</v>
      </c>
    </row>
    <row r="84" spans="1:16" ht="32.25" thickBot="1" x14ac:dyDescent="0.3">
      <c r="A84" s="85">
        <v>2</v>
      </c>
      <c r="B84" s="85">
        <v>2</v>
      </c>
      <c r="C84" s="92">
        <v>7</v>
      </c>
      <c r="D84" s="85">
        <v>2</v>
      </c>
      <c r="E84" s="93"/>
      <c r="F84" s="104" t="s">
        <v>65</v>
      </c>
      <c r="G84" s="112">
        <f>SUM(G86:G89)</f>
        <v>45117</v>
      </c>
      <c r="H84" s="166">
        <f t="shared" ref="H84:P84" si="21">SUM(H85:H89)</f>
        <v>19800.52</v>
      </c>
      <c r="I84" s="166" t="e">
        <f t="shared" si="21"/>
        <v>#REF!</v>
      </c>
      <c r="J84" s="166">
        <f t="shared" si="21"/>
        <v>650</v>
      </c>
      <c r="K84" s="166">
        <f t="shared" si="21"/>
        <v>0</v>
      </c>
      <c r="L84" s="166">
        <f t="shared" si="21"/>
        <v>4000</v>
      </c>
      <c r="M84" s="166">
        <f t="shared" si="21"/>
        <v>164125.1</v>
      </c>
      <c r="N84" s="166">
        <f t="shared" si="21"/>
        <v>9324.18</v>
      </c>
      <c r="O84" s="166">
        <f t="shared" si="21"/>
        <v>197899.8</v>
      </c>
      <c r="P84" s="213">
        <f t="shared" si="21"/>
        <v>-152782.79999999999</v>
      </c>
    </row>
    <row r="85" spans="1:16" ht="31.5" x14ac:dyDescent="0.25">
      <c r="A85" s="85">
        <v>2</v>
      </c>
      <c r="B85" s="85">
        <v>2</v>
      </c>
      <c r="C85" s="92">
        <v>7</v>
      </c>
      <c r="D85" s="85">
        <v>1</v>
      </c>
      <c r="E85" s="119">
        <v>2</v>
      </c>
      <c r="F85" s="126" t="s">
        <v>66</v>
      </c>
      <c r="G85" s="125"/>
      <c r="H85" s="167"/>
      <c r="I85" s="12" t="e">
        <f>+G85-#REF!</f>
        <v>#REF!</v>
      </c>
      <c r="J85" s="167"/>
      <c r="K85" s="167"/>
      <c r="L85" s="167">
        <f>2000+1500</f>
        <v>3500</v>
      </c>
      <c r="M85" s="167">
        <v>164125.1</v>
      </c>
      <c r="N85" s="168">
        <v>9324.18</v>
      </c>
      <c r="O85" s="182">
        <f>+H85+J85+K85+L85+M85+N85</f>
        <v>176949.28</v>
      </c>
      <c r="P85" s="207">
        <f>+G85-O85</f>
        <v>-176949.28</v>
      </c>
    </row>
    <row r="86" spans="1:16" ht="31.5" x14ac:dyDescent="0.25">
      <c r="A86" s="85">
        <v>2</v>
      </c>
      <c r="B86" s="85">
        <v>2</v>
      </c>
      <c r="C86" s="92">
        <v>7</v>
      </c>
      <c r="D86" s="85">
        <v>2</v>
      </c>
      <c r="E86" s="119">
        <v>2</v>
      </c>
      <c r="F86" s="126" t="s">
        <v>67</v>
      </c>
      <c r="G86" s="108">
        <v>9117</v>
      </c>
      <c r="H86" s="110">
        <v>0</v>
      </c>
      <c r="I86" s="12" t="e">
        <f>+G86-#REF!</f>
        <v>#REF!</v>
      </c>
      <c r="J86" s="110">
        <v>0</v>
      </c>
      <c r="K86" s="110"/>
      <c r="L86" s="110"/>
      <c r="M86" s="110"/>
      <c r="N86" s="110"/>
      <c r="O86" s="103">
        <f>+H86+J86+K86+L86+M86+N86</f>
        <v>0</v>
      </c>
      <c r="P86" s="207">
        <f>+G86-O86</f>
        <v>9117</v>
      </c>
    </row>
    <row r="87" spans="1:16" ht="31.5" x14ac:dyDescent="0.25">
      <c r="A87" s="85">
        <v>2</v>
      </c>
      <c r="B87" s="85">
        <v>2</v>
      </c>
      <c r="C87" s="92">
        <v>7</v>
      </c>
      <c r="D87" s="85">
        <v>2</v>
      </c>
      <c r="E87" s="119">
        <v>3</v>
      </c>
      <c r="F87" s="126" t="s">
        <v>68</v>
      </c>
      <c r="G87" s="108"/>
      <c r="H87" s="110">
        <f>G87*12</f>
        <v>0</v>
      </c>
      <c r="I87" s="12" t="e">
        <f>+G87-#REF!</f>
        <v>#REF!</v>
      </c>
      <c r="J87" s="110"/>
      <c r="K87" s="110"/>
      <c r="L87" s="110"/>
      <c r="M87" s="110"/>
      <c r="N87" s="110"/>
      <c r="O87" s="103">
        <f>+H87+J87+K87+L87+M87+N87</f>
        <v>0</v>
      </c>
      <c r="P87" s="207">
        <f>+G87-O87</f>
        <v>0</v>
      </c>
    </row>
    <row r="88" spans="1:16" ht="31.5" x14ac:dyDescent="0.25">
      <c r="A88" s="85">
        <v>2</v>
      </c>
      <c r="B88" s="85">
        <v>2</v>
      </c>
      <c r="C88" s="92">
        <v>7</v>
      </c>
      <c r="D88" s="85">
        <v>2</v>
      </c>
      <c r="E88" s="119">
        <v>4</v>
      </c>
      <c r="F88" s="126" t="s">
        <v>69</v>
      </c>
      <c r="G88" s="108">
        <v>24000</v>
      </c>
      <c r="H88" s="110"/>
      <c r="I88" s="12" t="e">
        <f>+G88-#REF!</f>
        <v>#REF!</v>
      </c>
      <c r="J88" s="110"/>
      <c r="K88" s="110"/>
      <c r="L88" s="110"/>
      <c r="M88" s="110"/>
      <c r="N88" s="110"/>
      <c r="O88" s="103">
        <f>+H88+J88+K88+L88+M88+N88</f>
        <v>0</v>
      </c>
      <c r="P88" s="207">
        <f>+G88-O88</f>
        <v>24000</v>
      </c>
    </row>
    <row r="89" spans="1:16" ht="47.25" x14ac:dyDescent="0.25">
      <c r="A89" s="85">
        <v>2</v>
      </c>
      <c r="B89" s="85">
        <v>2</v>
      </c>
      <c r="C89" s="92">
        <v>7</v>
      </c>
      <c r="D89" s="85">
        <v>2</v>
      </c>
      <c r="E89" s="119">
        <v>6</v>
      </c>
      <c r="F89" s="126" t="s">
        <v>70</v>
      </c>
      <c r="G89" s="108">
        <v>12000</v>
      </c>
      <c r="H89" s="110">
        <f>9670.1+9530.42+600</f>
        <v>19800.52</v>
      </c>
      <c r="I89" s="12" t="e">
        <f>+G89-#REF!</f>
        <v>#REF!</v>
      </c>
      <c r="J89" s="110">
        <v>650</v>
      </c>
      <c r="K89" s="110"/>
      <c r="L89" s="110">
        <v>500</v>
      </c>
      <c r="M89" s="167"/>
      <c r="N89" s="167"/>
      <c r="O89" s="103">
        <f>+H89+J89+K89+L89+M89+N89</f>
        <v>20950.52</v>
      </c>
      <c r="P89" s="207">
        <f>+G89-O89</f>
        <v>-8950.52</v>
      </c>
    </row>
    <row r="90" spans="1:16" ht="15.75" x14ac:dyDescent="0.25">
      <c r="A90" s="85"/>
      <c r="B90" s="85"/>
      <c r="C90" s="92"/>
      <c r="D90" s="85"/>
      <c r="E90" s="119"/>
      <c r="F90" s="106"/>
      <c r="G90" s="108"/>
      <c r="H90" s="110"/>
      <c r="I90" s="12"/>
      <c r="J90" s="110"/>
      <c r="K90" s="110"/>
      <c r="L90" s="110"/>
      <c r="M90" s="110"/>
      <c r="N90" s="110"/>
      <c r="O90" s="110"/>
      <c r="P90" s="207"/>
    </row>
    <row r="91" spans="1:16" ht="16.5" thickBot="1" x14ac:dyDescent="0.3">
      <c r="A91" s="85">
        <v>2</v>
      </c>
      <c r="B91" s="85">
        <v>2</v>
      </c>
      <c r="C91" s="92">
        <v>8</v>
      </c>
      <c r="D91" s="85"/>
      <c r="E91" s="93"/>
      <c r="F91" s="104" t="s">
        <v>71</v>
      </c>
      <c r="G91" s="125">
        <f>SUM(G92+G93)+G95+G99</f>
        <v>4392936</v>
      </c>
      <c r="H91" s="96">
        <f>H92+H93+H95+H99</f>
        <v>256177.13999999998</v>
      </c>
      <c r="I91" s="6" t="e">
        <f>I92+I93+I95+I99</f>
        <v>#REF!</v>
      </c>
      <c r="J91" s="96">
        <f t="shared" ref="J91:O91" si="22">J92+J93+J95+J99</f>
        <v>436592.42</v>
      </c>
      <c r="K91" s="96">
        <f t="shared" si="22"/>
        <v>418896.86999999994</v>
      </c>
      <c r="L91" s="96">
        <f t="shared" si="22"/>
        <v>742049.15</v>
      </c>
      <c r="M91" s="96">
        <f t="shared" si="22"/>
        <v>558299.6</v>
      </c>
      <c r="N91" s="105">
        <f t="shared" si="22"/>
        <v>541933.75000000012</v>
      </c>
      <c r="O91" s="105">
        <f t="shared" si="22"/>
        <v>2953948.9299999997</v>
      </c>
      <c r="P91" s="202">
        <f>P92+P93+P95+P99</f>
        <v>1438987.0700000003</v>
      </c>
    </row>
    <row r="92" spans="1:16" ht="15.75" x14ac:dyDescent="0.25">
      <c r="A92" s="85">
        <v>2</v>
      </c>
      <c r="B92" s="85">
        <v>2</v>
      </c>
      <c r="C92" s="92">
        <v>8</v>
      </c>
      <c r="D92" s="85">
        <v>2</v>
      </c>
      <c r="E92" s="119"/>
      <c r="F92" s="127" t="s">
        <v>72</v>
      </c>
      <c r="G92" s="107">
        <v>102000</v>
      </c>
      <c r="H92" s="109">
        <v>5155.28</v>
      </c>
      <c r="I92" s="13" t="e">
        <f>+G92-#REF!</f>
        <v>#REF!</v>
      </c>
      <c r="J92" s="109">
        <v>4982.54</v>
      </c>
      <c r="K92" s="109">
        <v>5146.79</v>
      </c>
      <c r="L92" s="109">
        <v>6349.16</v>
      </c>
      <c r="M92" s="109">
        <v>6493.55</v>
      </c>
      <c r="N92" s="110">
        <v>10422.81</v>
      </c>
      <c r="O92" s="103">
        <f>+H92+J92+K92+L92+M92+N92</f>
        <v>38550.129999999997</v>
      </c>
      <c r="P92" s="208">
        <f>+G92-O92</f>
        <v>63449.87</v>
      </c>
    </row>
    <row r="93" spans="1:16" ht="31.5" x14ac:dyDescent="0.25">
      <c r="A93" s="85">
        <v>2</v>
      </c>
      <c r="B93" s="85">
        <v>2</v>
      </c>
      <c r="C93" s="92">
        <v>8</v>
      </c>
      <c r="D93" s="85">
        <v>4</v>
      </c>
      <c r="E93" s="85"/>
      <c r="F93" s="127" t="s">
        <v>73</v>
      </c>
      <c r="G93" s="108">
        <v>0</v>
      </c>
      <c r="H93" s="110">
        <v>0</v>
      </c>
      <c r="I93" s="12">
        <v>0</v>
      </c>
      <c r="J93" s="110">
        <v>0</v>
      </c>
      <c r="K93" s="110"/>
      <c r="L93" s="110">
        <v>11800</v>
      </c>
      <c r="M93" s="110"/>
      <c r="N93" s="110"/>
      <c r="O93" s="103">
        <f>+H93+J93+K93+L93+M93+N93</f>
        <v>11800</v>
      </c>
      <c r="P93" s="207">
        <f>+G93-O93</f>
        <v>-11800</v>
      </c>
    </row>
    <row r="94" spans="1:16" ht="15.75" x14ac:dyDescent="0.25">
      <c r="A94" s="85"/>
      <c r="B94" s="85"/>
      <c r="C94" s="92"/>
      <c r="D94" s="85"/>
      <c r="E94" s="85"/>
      <c r="F94" s="127"/>
      <c r="G94" s="108"/>
      <c r="H94" s="110"/>
      <c r="I94" s="12"/>
      <c r="J94" s="110"/>
      <c r="K94" s="110"/>
      <c r="L94" s="110"/>
      <c r="M94" s="110"/>
      <c r="N94" s="110"/>
      <c r="O94" s="110"/>
      <c r="P94" s="207"/>
    </row>
    <row r="95" spans="1:16" ht="32.25" thickBot="1" x14ac:dyDescent="0.3">
      <c r="A95" s="85">
        <v>2</v>
      </c>
      <c r="B95" s="85">
        <v>2</v>
      </c>
      <c r="C95" s="92">
        <v>8</v>
      </c>
      <c r="D95" s="85">
        <v>6</v>
      </c>
      <c r="E95" s="93"/>
      <c r="F95" s="128" t="s">
        <v>74</v>
      </c>
      <c r="G95" s="125">
        <f t="shared" ref="G95:M95" si="23">G96+G97</f>
        <v>1894000</v>
      </c>
      <c r="H95" s="117">
        <f t="shared" si="23"/>
        <v>0</v>
      </c>
      <c r="I95" s="19" t="e">
        <f t="shared" si="23"/>
        <v>#REF!</v>
      </c>
      <c r="J95" s="117">
        <f t="shared" si="23"/>
        <v>0</v>
      </c>
      <c r="K95" s="117">
        <f t="shared" si="23"/>
        <v>0</v>
      </c>
      <c r="L95" s="117">
        <f t="shared" si="23"/>
        <v>2555</v>
      </c>
      <c r="M95" s="117">
        <f t="shared" si="23"/>
        <v>20746.650000000001</v>
      </c>
      <c r="N95" s="117"/>
      <c r="O95" s="117">
        <f>O96+O97</f>
        <v>23301.65</v>
      </c>
      <c r="P95" s="211">
        <f>P96+P97</f>
        <v>1870698.35</v>
      </c>
    </row>
    <row r="96" spans="1:16" ht="15.75" x14ac:dyDescent="0.25">
      <c r="A96" s="85">
        <v>2</v>
      </c>
      <c r="B96" s="85">
        <v>2</v>
      </c>
      <c r="C96" s="92">
        <v>8</v>
      </c>
      <c r="D96" s="85">
        <v>6</v>
      </c>
      <c r="E96" s="85">
        <v>1</v>
      </c>
      <c r="F96" s="127" t="s">
        <v>75</v>
      </c>
      <c r="G96" s="107">
        <v>1882000</v>
      </c>
      <c r="H96" s="109">
        <v>0</v>
      </c>
      <c r="I96" s="12" t="e">
        <f>+G96-#REF!</f>
        <v>#REF!</v>
      </c>
      <c r="J96" s="109">
        <v>0</v>
      </c>
      <c r="K96" s="109"/>
      <c r="L96" s="109"/>
      <c r="M96" s="109"/>
      <c r="N96" s="110"/>
      <c r="O96" s="103">
        <f>+H96+J96+K96+L96+M96</f>
        <v>0</v>
      </c>
      <c r="P96" s="207">
        <f>+G96-O96</f>
        <v>1882000</v>
      </c>
    </row>
    <row r="97" spans="1:16" ht="15.75" x14ac:dyDescent="0.25">
      <c r="A97" s="85">
        <v>2</v>
      </c>
      <c r="B97" s="85">
        <v>2</v>
      </c>
      <c r="C97" s="92">
        <v>8</v>
      </c>
      <c r="D97" s="85">
        <v>6</v>
      </c>
      <c r="E97" s="85">
        <v>2</v>
      </c>
      <c r="F97" s="127" t="s">
        <v>76</v>
      </c>
      <c r="G97" s="108">
        <v>12000</v>
      </c>
      <c r="H97" s="110"/>
      <c r="I97" s="12" t="e">
        <f>+G97-#REF!</f>
        <v>#REF!</v>
      </c>
      <c r="J97" s="110"/>
      <c r="K97" s="110"/>
      <c r="L97" s="110">
        <f>2175+380</f>
        <v>2555</v>
      </c>
      <c r="M97" s="110">
        <f>15620+529.95+1644.7+120+2832</f>
        <v>20746.650000000001</v>
      </c>
      <c r="N97" s="110"/>
      <c r="O97" s="103">
        <f>+H97+J97+K97+L97+M97+N97</f>
        <v>23301.65</v>
      </c>
      <c r="P97" s="207">
        <f>+G97-O97</f>
        <v>-11301.650000000001</v>
      </c>
    </row>
    <row r="98" spans="1:16" ht="15.75" x14ac:dyDescent="0.25">
      <c r="A98" s="85"/>
      <c r="B98" s="85"/>
      <c r="C98" s="92"/>
      <c r="D98" s="85"/>
      <c r="E98" s="85"/>
      <c r="F98" s="127"/>
      <c r="G98" s="108"/>
      <c r="H98" s="110">
        <v>0</v>
      </c>
      <c r="I98" s="12">
        <v>0</v>
      </c>
      <c r="J98" s="110">
        <v>0</v>
      </c>
      <c r="K98" s="110"/>
      <c r="L98" s="110"/>
      <c r="M98" s="110"/>
      <c r="N98" s="110"/>
      <c r="O98" s="110"/>
      <c r="P98" s="207"/>
    </row>
    <row r="99" spans="1:16" ht="32.25" thickBot="1" x14ac:dyDescent="0.3">
      <c r="A99" s="85">
        <v>2</v>
      </c>
      <c r="B99" s="85">
        <v>2</v>
      </c>
      <c r="C99" s="92">
        <v>8</v>
      </c>
      <c r="D99" s="85">
        <v>7</v>
      </c>
      <c r="E99" s="93"/>
      <c r="F99" s="128" t="s">
        <v>77</v>
      </c>
      <c r="G99" s="129">
        <f t="shared" ref="G99:P99" si="24">G100+G101+G102+G103+G104</f>
        <v>2396936</v>
      </c>
      <c r="H99" s="118">
        <f t="shared" si="24"/>
        <v>251021.86</v>
      </c>
      <c r="I99" s="6" t="e">
        <f t="shared" si="24"/>
        <v>#REF!</v>
      </c>
      <c r="J99" s="118">
        <f t="shared" si="24"/>
        <v>431609.88</v>
      </c>
      <c r="K99" s="118">
        <f t="shared" si="24"/>
        <v>413750.07999999996</v>
      </c>
      <c r="L99" s="118">
        <f>L100+L101+L102+L103+L104</f>
        <v>721344.99</v>
      </c>
      <c r="M99" s="118">
        <f>M100+M101+M102+M103+M104</f>
        <v>531059.4</v>
      </c>
      <c r="N99" s="118">
        <f>N100+N101+N102+N103+N104</f>
        <v>531510.94000000006</v>
      </c>
      <c r="O99" s="118">
        <f t="shared" si="24"/>
        <v>2880297.15</v>
      </c>
      <c r="P99" s="202">
        <f t="shared" si="24"/>
        <v>-483361.14999999985</v>
      </c>
    </row>
    <row r="100" spans="1:16" ht="31.5" x14ac:dyDescent="0.25">
      <c r="A100" s="85">
        <v>2</v>
      </c>
      <c r="B100" s="85">
        <v>2</v>
      </c>
      <c r="C100" s="92">
        <v>8</v>
      </c>
      <c r="D100" s="85">
        <v>7</v>
      </c>
      <c r="E100" s="85">
        <v>1</v>
      </c>
      <c r="F100" s="106" t="s">
        <v>78</v>
      </c>
      <c r="G100" s="108">
        <v>500000</v>
      </c>
      <c r="H100" s="110">
        <v>0</v>
      </c>
      <c r="I100" s="13" t="e">
        <f>+G100-#REF!</f>
        <v>#REF!</v>
      </c>
      <c r="J100" s="110">
        <v>0</v>
      </c>
      <c r="K100" s="110"/>
      <c r="L100" s="110"/>
      <c r="M100" s="110"/>
      <c r="N100" s="110"/>
      <c r="O100" s="103">
        <f>+H100+J100+K100+L100+M100+N100</f>
        <v>0</v>
      </c>
      <c r="P100" s="208">
        <f>+G100-O100</f>
        <v>500000</v>
      </c>
    </row>
    <row r="101" spans="1:16" ht="31.5" x14ac:dyDescent="0.25">
      <c r="A101" s="85">
        <v>2</v>
      </c>
      <c r="B101" s="85">
        <v>2</v>
      </c>
      <c r="C101" s="92">
        <v>8</v>
      </c>
      <c r="D101" s="85">
        <v>7</v>
      </c>
      <c r="E101" s="119">
        <v>3</v>
      </c>
      <c r="F101" s="106" t="s">
        <v>79</v>
      </c>
      <c r="G101" s="108">
        <v>300000</v>
      </c>
      <c r="H101" s="110"/>
      <c r="I101" s="24" t="e">
        <f>+G101-#REF!</f>
        <v>#REF!</v>
      </c>
      <c r="J101" s="110"/>
      <c r="K101" s="110">
        <v>48000</v>
      </c>
      <c r="L101" s="110"/>
      <c r="M101" s="110">
        <v>192000</v>
      </c>
      <c r="N101" s="110"/>
      <c r="O101" s="103">
        <f>+H101+J101+K101+L101+M101+N101</f>
        <v>240000</v>
      </c>
      <c r="P101" s="214">
        <f>+G101-O101</f>
        <v>60000</v>
      </c>
    </row>
    <row r="102" spans="1:16" ht="15.75" x14ac:dyDescent="0.25">
      <c r="A102" s="85">
        <v>2</v>
      </c>
      <c r="B102" s="85">
        <v>2</v>
      </c>
      <c r="C102" s="92">
        <v>8</v>
      </c>
      <c r="D102" s="85">
        <v>7</v>
      </c>
      <c r="E102" s="85">
        <v>4</v>
      </c>
      <c r="F102" s="106" t="s">
        <v>80</v>
      </c>
      <c r="G102" s="108"/>
      <c r="H102" s="110">
        <v>10000</v>
      </c>
      <c r="I102" s="24" t="e">
        <f>+G102-#REF!</f>
        <v>#REF!</v>
      </c>
      <c r="J102" s="110"/>
      <c r="K102" s="110">
        <v>5000</v>
      </c>
      <c r="L102" s="110">
        <v>16640</v>
      </c>
      <c r="M102" s="110">
        <v>11700</v>
      </c>
      <c r="N102" s="110"/>
      <c r="O102" s="103">
        <f>+H102+J102+K102+L102+M102+N102</f>
        <v>43340</v>
      </c>
      <c r="P102" s="214">
        <f>+G102-O102</f>
        <v>-43340</v>
      </c>
    </row>
    <row r="103" spans="1:16" ht="31.5" x14ac:dyDescent="0.25">
      <c r="A103" s="85">
        <v>2</v>
      </c>
      <c r="B103" s="85">
        <v>2</v>
      </c>
      <c r="C103" s="92">
        <v>8</v>
      </c>
      <c r="D103" s="85">
        <v>7</v>
      </c>
      <c r="E103" s="85">
        <v>5</v>
      </c>
      <c r="F103" s="106" t="s">
        <v>81</v>
      </c>
      <c r="G103" s="108">
        <v>12000</v>
      </c>
      <c r="H103" s="110">
        <v>3233.36</v>
      </c>
      <c r="I103" s="24" t="e">
        <f>+G103-#REF!</f>
        <v>#REF!</v>
      </c>
      <c r="J103" s="110"/>
      <c r="K103" s="110">
        <v>5655.28</v>
      </c>
      <c r="L103" s="110">
        <v>51829.599999999999</v>
      </c>
      <c r="M103" s="110">
        <v>4770.8999999999996</v>
      </c>
      <c r="N103" s="110">
        <v>4811.3999999999996</v>
      </c>
      <c r="O103" s="103">
        <f>+H103+J103+K103+L103+M103+N103</f>
        <v>70300.539999999994</v>
      </c>
      <c r="P103" s="214">
        <f>+G103-O103</f>
        <v>-58300.539999999994</v>
      </c>
    </row>
    <row r="104" spans="1:16" ht="31.5" x14ac:dyDescent="0.25">
      <c r="A104" s="85">
        <v>2</v>
      </c>
      <c r="B104" s="85">
        <v>2</v>
      </c>
      <c r="C104" s="92">
        <v>8</v>
      </c>
      <c r="D104" s="85">
        <v>7</v>
      </c>
      <c r="E104" s="85">
        <v>6</v>
      </c>
      <c r="F104" s="106" t="s">
        <v>82</v>
      </c>
      <c r="G104" s="108">
        <v>1584936</v>
      </c>
      <c r="H104" s="110">
        <f>38200+11800+43563+144225.5</f>
        <v>237788.5</v>
      </c>
      <c r="I104" s="24" t="e">
        <f>+G104-#REF!</f>
        <v>#REF!</v>
      </c>
      <c r="J104" s="110">
        <f>12000+21240+177541.38+11800+144225.5+43563+21240</f>
        <v>431609.88</v>
      </c>
      <c r="K104" s="110">
        <f>10620+26886.3+118000+11800+144225.5+43563</f>
        <v>355094.8</v>
      </c>
      <c r="L104" s="110">
        <f>29500+110963.37+6608+42480+90935.52+144225.5+11800+118000+43563+54800</f>
        <v>652875.39</v>
      </c>
      <c r="M104" s="110">
        <f>5000+43563+144225.5+118000+11800</f>
        <v>322588.5</v>
      </c>
      <c r="N104" s="110">
        <f>11800+118000+43563+5000+181871.04+144225.5+1000+21240</f>
        <v>526699.54</v>
      </c>
      <c r="O104" s="103">
        <f>+H104+J104+K104+L104+M104+N104</f>
        <v>2526656.61</v>
      </c>
      <c r="P104" s="214">
        <f>+G104-O104</f>
        <v>-941720.60999999987</v>
      </c>
    </row>
    <row r="105" spans="1:16" ht="16.5" thickBot="1" x14ac:dyDescent="0.3">
      <c r="A105" s="85"/>
      <c r="B105" s="85"/>
      <c r="C105" s="92"/>
      <c r="D105" s="85"/>
      <c r="E105" s="85"/>
      <c r="F105" s="106"/>
      <c r="G105" s="111"/>
      <c r="H105" s="117"/>
      <c r="I105" s="19"/>
      <c r="J105" s="117"/>
      <c r="K105" s="117"/>
      <c r="L105" s="117"/>
      <c r="M105" s="117"/>
      <c r="N105" s="117"/>
      <c r="O105" s="117"/>
      <c r="P105" s="211"/>
    </row>
    <row r="106" spans="1:16" ht="32.25" thickBot="1" x14ac:dyDescent="0.3">
      <c r="A106" s="85">
        <v>2</v>
      </c>
      <c r="B106" s="85">
        <v>2</v>
      </c>
      <c r="C106" s="92">
        <v>9</v>
      </c>
      <c r="D106" s="85"/>
      <c r="E106" s="85"/>
      <c r="F106" s="104" t="s">
        <v>83</v>
      </c>
      <c r="G106" s="100">
        <f>G107+G108</f>
        <v>12000</v>
      </c>
      <c r="H106" s="168">
        <f t="shared" ref="H106:P106" si="25">H107+H108</f>
        <v>33893.49</v>
      </c>
      <c r="I106" s="25" t="e">
        <f t="shared" si="25"/>
        <v>#REF!</v>
      </c>
      <c r="J106" s="168">
        <f t="shared" si="25"/>
        <v>47097.1</v>
      </c>
      <c r="K106" s="168">
        <f t="shared" si="25"/>
        <v>15197.85</v>
      </c>
      <c r="L106" s="168">
        <f>L107+L108</f>
        <v>103340.88</v>
      </c>
      <c r="M106" s="168">
        <f>M107+M108</f>
        <v>5899.8</v>
      </c>
      <c r="N106" s="168">
        <f>N107+N108</f>
        <v>87945</v>
      </c>
      <c r="O106" s="168">
        <f>O107+O108</f>
        <v>293374.12</v>
      </c>
      <c r="P106" s="215">
        <f t="shared" si="25"/>
        <v>-281374.12</v>
      </c>
    </row>
    <row r="107" spans="1:16" ht="16.5" thickBot="1" x14ac:dyDescent="0.3">
      <c r="A107" s="85">
        <v>2</v>
      </c>
      <c r="B107" s="85">
        <v>2</v>
      </c>
      <c r="C107" s="92">
        <v>9</v>
      </c>
      <c r="D107" s="85">
        <v>2</v>
      </c>
      <c r="E107" s="85"/>
      <c r="F107" s="127" t="s">
        <v>84</v>
      </c>
      <c r="G107" s="97"/>
      <c r="H107" s="130"/>
      <c r="I107" s="26" t="e">
        <f>+G107-#REF!</f>
        <v>#REF!</v>
      </c>
      <c r="J107" s="130"/>
      <c r="K107" s="130"/>
      <c r="L107" s="130"/>
      <c r="M107" s="130"/>
      <c r="N107" s="130"/>
      <c r="O107" s="130"/>
      <c r="P107" s="216"/>
    </row>
    <row r="108" spans="1:16" ht="15.75" x14ac:dyDescent="0.25">
      <c r="A108" s="85">
        <v>2</v>
      </c>
      <c r="B108" s="85">
        <v>2</v>
      </c>
      <c r="C108" s="92">
        <v>9</v>
      </c>
      <c r="D108" s="85">
        <v>2</v>
      </c>
      <c r="E108" s="85">
        <v>1</v>
      </c>
      <c r="F108" s="106" t="s">
        <v>84</v>
      </c>
      <c r="G108" s="108">
        <v>12000</v>
      </c>
      <c r="H108" s="110">
        <f>2066.99+300+175+300+275+175+300+300+30001.5</f>
        <v>33893.49</v>
      </c>
      <c r="I108" s="12" t="e">
        <f>+G108-#REF!</f>
        <v>#REF!</v>
      </c>
      <c r="J108" s="110">
        <f>300+175+145+791.7+400+470+750+475+400+100+265+12823.9+30001.5</f>
        <v>47097.1</v>
      </c>
      <c r="K108" s="110">
        <f>3872+8791+375+245+300+759.85+300+80+475</f>
        <v>15197.85</v>
      </c>
      <c r="L108" s="110">
        <f>9513.6+315+400+315+175+315+1087.28+315+350+385+89680+315+175</f>
        <v>103340.88</v>
      </c>
      <c r="M108" s="110">
        <f>639.8+175+315+310+300+485+475+300+2900</f>
        <v>5899.8</v>
      </c>
      <c r="N108" s="110">
        <f>84075+380+2210+300+300+300+380</f>
        <v>87945</v>
      </c>
      <c r="O108" s="103">
        <f>+H108+J108+K108+L108+M108+N108</f>
        <v>293374.12</v>
      </c>
      <c r="P108" s="207">
        <f>+G108-O108</f>
        <v>-281374.12</v>
      </c>
    </row>
    <row r="109" spans="1:16" ht="15.75" x14ac:dyDescent="0.25">
      <c r="A109" s="85"/>
      <c r="B109" s="85"/>
      <c r="C109" s="92"/>
      <c r="D109" s="85"/>
      <c r="E109" s="85"/>
      <c r="F109" s="106"/>
      <c r="G109" s="108"/>
      <c r="H109" s="110"/>
      <c r="I109" s="12"/>
      <c r="J109" s="110"/>
      <c r="K109" s="110"/>
      <c r="L109" s="110"/>
      <c r="M109" s="110"/>
      <c r="N109" s="110"/>
      <c r="O109" s="110"/>
      <c r="P109" s="207"/>
    </row>
    <row r="110" spans="1:16" ht="16.5" thickBot="1" x14ac:dyDescent="0.3">
      <c r="A110" s="85">
        <v>2</v>
      </c>
      <c r="B110" s="85">
        <v>3</v>
      </c>
      <c r="C110" s="92"/>
      <c r="D110" s="85"/>
      <c r="E110" s="93"/>
      <c r="F110" s="104" t="s">
        <v>85</v>
      </c>
      <c r="G110" s="95">
        <f>G111+G115+G118+G124+G128+G136</f>
        <v>729304</v>
      </c>
      <c r="H110" s="165">
        <f>H111+H115+H118+H124+H128+H136</f>
        <v>85512.01</v>
      </c>
      <c r="I110" s="165" t="e">
        <f t="shared" ref="I110:P110" si="26">I111+I115+I118+I124+I128+I136</f>
        <v>#REF!</v>
      </c>
      <c r="J110" s="165">
        <f t="shared" si="26"/>
        <v>77786.3</v>
      </c>
      <c r="K110" s="165">
        <f t="shared" si="26"/>
        <v>60480</v>
      </c>
      <c r="L110" s="165">
        <f t="shared" si="26"/>
        <v>127356.73999999999</v>
      </c>
      <c r="M110" s="165">
        <f t="shared" si="26"/>
        <v>91216.950000000012</v>
      </c>
      <c r="N110" s="165">
        <f t="shared" si="26"/>
        <v>747.85</v>
      </c>
      <c r="O110" s="165">
        <f t="shared" si="26"/>
        <v>443099.85</v>
      </c>
      <c r="P110" s="201">
        <f t="shared" si="26"/>
        <v>286204.14999999997</v>
      </c>
    </row>
    <row r="111" spans="1:16" ht="32.25" thickBot="1" x14ac:dyDescent="0.3">
      <c r="A111" s="85">
        <v>2</v>
      </c>
      <c r="B111" s="85">
        <v>3</v>
      </c>
      <c r="C111" s="92">
        <v>1</v>
      </c>
      <c r="D111" s="85"/>
      <c r="E111" s="93"/>
      <c r="F111" s="131" t="s">
        <v>86</v>
      </c>
      <c r="G111" s="112">
        <f t="shared" ref="G111:O111" si="27">G112</f>
        <v>0</v>
      </c>
      <c r="H111" s="113">
        <f t="shared" si="27"/>
        <v>0</v>
      </c>
      <c r="I111" s="15">
        <f t="shared" si="27"/>
        <v>0</v>
      </c>
      <c r="J111" s="113">
        <f t="shared" si="27"/>
        <v>0</v>
      </c>
      <c r="K111" s="113">
        <f t="shared" si="27"/>
        <v>0</v>
      </c>
      <c r="L111" s="113">
        <f t="shared" si="27"/>
        <v>0</v>
      </c>
      <c r="M111" s="113">
        <f t="shared" si="27"/>
        <v>0</v>
      </c>
      <c r="N111" s="113">
        <f t="shared" si="27"/>
        <v>0</v>
      </c>
      <c r="O111" s="113">
        <f t="shared" si="27"/>
        <v>0</v>
      </c>
      <c r="P111" s="209">
        <f>P112</f>
        <v>0</v>
      </c>
    </row>
    <row r="112" spans="1:16" ht="31.5" x14ac:dyDescent="0.25">
      <c r="A112" s="85">
        <v>2</v>
      </c>
      <c r="B112" s="85">
        <v>3</v>
      </c>
      <c r="C112" s="92">
        <v>1</v>
      </c>
      <c r="D112" s="85">
        <v>1</v>
      </c>
      <c r="E112" s="93"/>
      <c r="F112" s="132" t="s">
        <v>87</v>
      </c>
      <c r="G112" s="108">
        <f>G113</f>
        <v>0</v>
      </c>
      <c r="H112" s="103"/>
      <c r="I112" s="9"/>
      <c r="J112" s="103"/>
      <c r="K112" s="103"/>
      <c r="L112" s="103"/>
      <c r="M112" s="103"/>
      <c r="N112" s="182"/>
      <c r="O112" s="182">
        <f>+H112+J112+K112+L112+M112+N112</f>
        <v>0</v>
      </c>
      <c r="P112" s="205"/>
    </row>
    <row r="113" spans="1:16" ht="31.5" x14ac:dyDescent="0.25">
      <c r="A113" s="85">
        <v>2</v>
      </c>
      <c r="B113" s="85">
        <v>3</v>
      </c>
      <c r="C113" s="92">
        <v>1</v>
      </c>
      <c r="D113" s="85">
        <v>1</v>
      </c>
      <c r="E113" s="93">
        <v>1</v>
      </c>
      <c r="F113" s="132" t="s">
        <v>87</v>
      </c>
      <c r="G113" s="108"/>
      <c r="H113" s="110">
        <v>0</v>
      </c>
      <c r="I113" s="12">
        <v>0</v>
      </c>
      <c r="J113" s="110">
        <v>0</v>
      </c>
      <c r="K113" s="110"/>
      <c r="L113" s="110"/>
      <c r="M113" s="110"/>
      <c r="N113" s="110"/>
      <c r="O113" s="103">
        <f>+H113+J113+K113+L113+M113+N113</f>
        <v>0</v>
      </c>
      <c r="P113" s="207">
        <v>0</v>
      </c>
    </row>
    <row r="114" spans="1:16" ht="15.75" x14ac:dyDescent="0.25">
      <c r="A114" s="85"/>
      <c r="B114" s="85"/>
      <c r="C114" s="92"/>
      <c r="D114" s="85"/>
      <c r="E114" s="93"/>
      <c r="F114" s="131"/>
      <c r="G114" s="108"/>
      <c r="H114" s="110"/>
      <c r="I114" s="12"/>
      <c r="J114" s="110"/>
      <c r="K114" s="110"/>
      <c r="L114" s="110"/>
      <c r="M114" s="110"/>
      <c r="N114" s="110"/>
      <c r="O114" s="110"/>
      <c r="P114" s="207"/>
    </row>
    <row r="115" spans="1:16" ht="16.5" thickBot="1" x14ac:dyDescent="0.3">
      <c r="A115" s="85">
        <v>2</v>
      </c>
      <c r="B115" s="85">
        <v>3</v>
      </c>
      <c r="C115" s="92">
        <v>2</v>
      </c>
      <c r="D115" s="85"/>
      <c r="E115" s="93"/>
      <c r="F115" s="131" t="s">
        <v>88</v>
      </c>
      <c r="G115" s="108"/>
      <c r="H115" s="110">
        <f t="shared" ref="H115:P115" si="28">H116</f>
        <v>0</v>
      </c>
      <c r="I115" s="12">
        <f t="shared" si="28"/>
        <v>0</v>
      </c>
      <c r="J115" s="110">
        <f t="shared" si="28"/>
        <v>0</v>
      </c>
      <c r="K115" s="110">
        <f t="shared" si="28"/>
        <v>0</v>
      </c>
      <c r="L115" s="110">
        <f t="shared" si="28"/>
        <v>0</v>
      </c>
      <c r="M115" s="110">
        <f t="shared" si="28"/>
        <v>0</v>
      </c>
      <c r="N115" s="117">
        <f t="shared" si="28"/>
        <v>0</v>
      </c>
      <c r="O115" s="117">
        <f t="shared" si="28"/>
        <v>0</v>
      </c>
      <c r="P115" s="207">
        <f t="shared" si="28"/>
        <v>0</v>
      </c>
    </row>
    <row r="116" spans="1:16" ht="15.75" x14ac:dyDescent="0.25">
      <c r="A116" s="85">
        <v>2</v>
      </c>
      <c r="B116" s="85">
        <v>3</v>
      </c>
      <c r="C116" s="92">
        <v>2</v>
      </c>
      <c r="D116" s="85">
        <v>3</v>
      </c>
      <c r="E116" s="93"/>
      <c r="F116" s="132" t="s">
        <v>89</v>
      </c>
      <c r="G116" s="107"/>
      <c r="H116" s="109">
        <v>0</v>
      </c>
      <c r="I116" s="13">
        <v>0</v>
      </c>
      <c r="J116" s="109">
        <v>0</v>
      </c>
      <c r="K116" s="109"/>
      <c r="L116" s="109"/>
      <c r="M116" s="109"/>
      <c r="N116" s="110"/>
      <c r="O116" s="103">
        <f>+H116+J116+K116+L116+M116+N116</f>
        <v>0</v>
      </c>
      <c r="P116" s="208">
        <v>0</v>
      </c>
    </row>
    <row r="117" spans="1:16" s="17" customFormat="1" ht="15.75" x14ac:dyDescent="0.25">
      <c r="A117" s="85"/>
      <c r="B117" s="85"/>
      <c r="C117" s="92"/>
      <c r="D117" s="85"/>
      <c r="E117" s="93"/>
      <c r="F117" s="131"/>
      <c r="G117" s="108"/>
      <c r="H117" s="103"/>
      <c r="I117" s="9"/>
      <c r="J117" s="103"/>
      <c r="K117" s="103"/>
      <c r="L117" s="103"/>
      <c r="M117" s="103"/>
      <c r="N117" s="103"/>
      <c r="O117" s="103"/>
      <c r="P117" s="205"/>
    </row>
    <row r="118" spans="1:16" ht="32.25" thickBot="1" x14ac:dyDescent="0.3">
      <c r="A118" s="85">
        <v>2</v>
      </c>
      <c r="B118" s="115">
        <v>3</v>
      </c>
      <c r="C118" s="116">
        <v>3</v>
      </c>
      <c r="D118" s="93"/>
      <c r="E118" s="93"/>
      <c r="F118" s="104" t="s">
        <v>90</v>
      </c>
      <c r="G118" s="95">
        <f t="shared" ref="G118:P118" si="29">G119+G120+G121+G122</f>
        <v>101500</v>
      </c>
      <c r="H118" s="105">
        <f t="shared" si="29"/>
        <v>0</v>
      </c>
      <c r="I118" s="10" t="e">
        <f t="shared" si="29"/>
        <v>#REF!</v>
      </c>
      <c r="J118" s="105">
        <f t="shared" si="29"/>
        <v>708</v>
      </c>
      <c r="K118" s="105">
        <f t="shared" si="29"/>
        <v>0</v>
      </c>
      <c r="L118" s="105">
        <f t="shared" si="29"/>
        <v>0</v>
      </c>
      <c r="M118" s="105">
        <f t="shared" si="29"/>
        <v>0</v>
      </c>
      <c r="N118" s="105">
        <f t="shared" si="29"/>
        <v>0</v>
      </c>
      <c r="O118" s="105">
        <f t="shared" si="29"/>
        <v>708</v>
      </c>
      <c r="P118" s="202">
        <f t="shared" si="29"/>
        <v>100792</v>
      </c>
    </row>
    <row r="119" spans="1:16" ht="15.75" x14ac:dyDescent="0.25">
      <c r="A119" s="85">
        <v>2</v>
      </c>
      <c r="B119" s="85">
        <v>3</v>
      </c>
      <c r="C119" s="92">
        <v>3</v>
      </c>
      <c r="D119" s="85">
        <v>1</v>
      </c>
      <c r="E119" s="85"/>
      <c r="F119" s="127" t="s">
        <v>91</v>
      </c>
      <c r="G119" s="107">
        <v>68000</v>
      </c>
      <c r="H119" s="109"/>
      <c r="I119" s="12" t="e">
        <f>+G119-#REF!</f>
        <v>#REF!</v>
      </c>
      <c r="J119" s="109"/>
      <c r="K119" s="109"/>
      <c r="L119" s="109"/>
      <c r="M119" s="109"/>
      <c r="N119" s="183"/>
      <c r="O119" s="103">
        <f>+H119+J119+K119+L119+M119+N119</f>
        <v>0</v>
      </c>
      <c r="P119" s="230">
        <f>+G119-O119</f>
        <v>68000</v>
      </c>
    </row>
    <row r="120" spans="1:16" ht="15.75" x14ac:dyDescent="0.25">
      <c r="A120" s="85">
        <v>2</v>
      </c>
      <c r="B120" s="85">
        <v>3</v>
      </c>
      <c r="C120" s="92">
        <v>3</v>
      </c>
      <c r="D120" s="85">
        <v>2</v>
      </c>
      <c r="E120" s="85"/>
      <c r="F120" s="127" t="s">
        <v>92</v>
      </c>
      <c r="G120" s="108">
        <v>23000</v>
      </c>
      <c r="H120" s="110">
        <v>0</v>
      </c>
      <c r="I120" s="12" t="e">
        <f>+G120-#REF!</f>
        <v>#REF!</v>
      </c>
      <c r="J120" s="110">
        <v>0</v>
      </c>
      <c r="K120" s="110"/>
      <c r="L120" s="110"/>
      <c r="M120" s="110"/>
      <c r="N120" s="183"/>
      <c r="O120" s="103">
        <f>+H120+J120+K120+L120+M120+N120</f>
        <v>0</v>
      </c>
      <c r="P120" s="231">
        <f>+G120-O120</f>
        <v>23000</v>
      </c>
    </row>
    <row r="121" spans="1:16" ht="15.75" x14ac:dyDescent="0.25">
      <c r="A121" s="85">
        <v>2</v>
      </c>
      <c r="B121" s="85">
        <v>3</v>
      </c>
      <c r="C121" s="92">
        <v>3</v>
      </c>
      <c r="D121" s="85">
        <v>3</v>
      </c>
      <c r="E121" s="85"/>
      <c r="F121" s="127" t="s">
        <v>93</v>
      </c>
      <c r="G121" s="108">
        <v>0</v>
      </c>
      <c r="H121" s="110">
        <v>0</v>
      </c>
      <c r="I121" s="12">
        <v>0</v>
      </c>
      <c r="J121" s="110">
        <v>708</v>
      </c>
      <c r="K121" s="110"/>
      <c r="L121" s="110"/>
      <c r="M121" s="110"/>
      <c r="N121" s="183"/>
      <c r="O121" s="103">
        <f>+H121+J121+K121+L121+M121+N121</f>
        <v>708</v>
      </c>
      <c r="P121" s="231">
        <f>+G121-O121</f>
        <v>-708</v>
      </c>
    </row>
    <row r="122" spans="1:16" ht="15.75" x14ac:dyDescent="0.25">
      <c r="A122" s="85">
        <v>2</v>
      </c>
      <c r="B122" s="85">
        <v>3</v>
      </c>
      <c r="C122" s="92">
        <v>3</v>
      </c>
      <c r="D122" s="85">
        <v>4</v>
      </c>
      <c r="E122" s="85"/>
      <c r="F122" s="127" t="s">
        <v>94</v>
      </c>
      <c r="G122" s="108">
        <v>10500</v>
      </c>
      <c r="H122" s="110"/>
      <c r="I122" s="12" t="e">
        <f>+G122-#REF!</f>
        <v>#REF!</v>
      </c>
      <c r="J122" s="110"/>
      <c r="K122" s="110"/>
      <c r="L122" s="110"/>
      <c r="M122" s="110"/>
      <c r="N122" s="183"/>
      <c r="O122" s="110">
        <f>+H122+J122+K122+L122+M122+N122</f>
        <v>0</v>
      </c>
      <c r="P122" s="231">
        <f>+G122-O122</f>
        <v>10500</v>
      </c>
    </row>
    <row r="123" spans="1:16" s="28" customFormat="1" ht="16.5" thickBot="1" x14ac:dyDescent="0.3">
      <c r="A123" s="85"/>
      <c r="B123" s="85"/>
      <c r="C123" s="92"/>
      <c r="D123" s="85"/>
      <c r="E123" s="85"/>
      <c r="F123" s="127"/>
      <c r="G123" s="108"/>
      <c r="H123" s="110"/>
      <c r="I123" s="12"/>
      <c r="J123" s="110"/>
      <c r="K123" s="110"/>
      <c r="L123" s="110"/>
      <c r="M123" s="110"/>
      <c r="N123" s="183"/>
      <c r="O123" s="103">
        <f>+H123+J123+K123+L123+M123+N123</f>
        <v>0</v>
      </c>
      <c r="P123" s="231"/>
    </row>
    <row r="124" spans="1:16" s="28" customFormat="1" ht="32.25" thickBot="1" x14ac:dyDescent="0.3">
      <c r="A124" s="93">
        <v>2</v>
      </c>
      <c r="B124" s="93">
        <v>3</v>
      </c>
      <c r="C124" s="133">
        <v>7</v>
      </c>
      <c r="D124" s="93"/>
      <c r="E124" s="93"/>
      <c r="F124" s="128" t="s">
        <v>95</v>
      </c>
      <c r="G124" s="95">
        <f t="shared" ref="G124:P125" si="30">G125</f>
        <v>300000</v>
      </c>
      <c r="H124" s="117">
        <f t="shared" si="30"/>
        <v>0</v>
      </c>
      <c r="I124" s="16" t="e">
        <f t="shared" si="30"/>
        <v>#REF!</v>
      </c>
      <c r="J124" s="117">
        <f t="shared" si="30"/>
        <v>0</v>
      </c>
      <c r="K124" s="117">
        <f t="shared" si="30"/>
        <v>60000</v>
      </c>
      <c r="L124" s="117">
        <f t="shared" si="30"/>
        <v>0</v>
      </c>
      <c r="M124" s="117">
        <f t="shared" si="30"/>
        <v>0</v>
      </c>
      <c r="N124" s="117">
        <f t="shared" si="30"/>
        <v>0</v>
      </c>
      <c r="O124" s="117">
        <f t="shared" si="30"/>
        <v>60000</v>
      </c>
      <c r="P124" s="232">
        <f t="shared" si="30"/>
        <v>240000</v>
      </c>
    </row>
    <row r="125" spans="1:16" s="29" customFormat="1" ht="16.5" thickBot="1" x14ac:dyDescent="0.3">
      <c r="A125" s="93">
        <v>2</v>
      </c>
      <c r="B125" s="93">
        <v>3</v>
      </c>
      <c r="C125" s="133">
        <v>7</v>
      </c>
      <c r="D125" s="93">
        <v>1</v>
      </c>
      <c r="E125" s="93"/>
      <c r="F125" s="128" t="s">
        <v>96</v>
      </c>
      <c r="G125" s="95">
        <f t="shared" si="30"/>
        <v>300000</v>
      </c>
      <c r="H125" s="98">
        <f t="shared" si="30"/>
        <v>0</v>
      </c>
      <c r="I125" s="16" t="e">
        <f>I126</f>
        <v>#REF!</v>
      </c>
      <c r="J125" s="98">
        <f t="shared" si="30"/>
        <v>0</v>
      </c>
      <c r="K125" s="98">
        <f t="shared" si="30"/>
        <v>60000</v>
      </c>
      <c r="L125" s="98">
        <f t="shared" si="30"/>
        <v>0</v>
      </c>
      <c r="M125" s="98">
        <f t="shared" si="30"/>
        <v>0</v>
      </c>
      <c r="N125" s="98">
        <f t="shared" si="30"/>
        <v>0</v>
      </c>
      <c r="O125" s="98">
        <f t="shared" si="30"/>
        <v>60000</v>
      </c>
      <c r="P125" s="211">
        <f>P126</f>
        <v>240000</v>
      </c>
    </row>
    <row r="126" spans="1:16" ht="15.75" x14ac:dyDescent="0.25">
      <c r="A126" s="119">
        <v>2</v>
      </c>
      <c r="B126" s="119">
        <v>3</v>
      </c>
      <c r="C126" s="134">
        <v>7</v>
      </c>
      <c r="D126" s="119">
        <v>1</v>
      </c>
      <c r="E126" s="119">
        <v>1</v>
      </c>
      <c r="F126" s="106" t="s">
        <v>97</v>
      </c>
      <c r="G126" s="108">
        <v>300000</v>
      </c>
      <c r="H126" s="109"/>
      <c r="I126" s="13" t="e">
        <f>+G126-#REF!</f>
        <v>#REF!</v>
      </c>
      <c r="J126" s="109"/>
      <c r="K126" s="109">
        <v>60000</v>
      </c>
      <c r="L126" s="109"/>
      <c r="M126" s="109"/>
      <c r="N126" s="110"/>
      <c r="O126" s="103">
        <f>+H126+J126+K126+L126+M126+N126</f>
        <v>60000</v>
      </c>
      <c r="P126" s="208">
        <f>+G126-O126</f>
        <v>240000</v>
      </c>
    </row>
    <row r="127" spans="1:16" ht="15.75" x14ac:dyDescent="0.25">
      <c r="A127" s="85"/>
      <c r="B127" s="85"/>
      <c r="C127" s="92"/>
      <c r="D127" s="85"/>
      <c r="E127" s="85"/>
      <c r="F127" s="106"/>
      <c r="G127" s="108"/>
      <c r="H127" s="110"/>
      <c r="I127" s="12"/>
      <c r="J127" s="110"/>
      <c r="K127" s="110"/>
      <c r="L127" s="110"/>
      <c r="M127" s="110"/>
      <c r="N127" s="110"/>
      <c r="O127" s="110"/>
      <c r="P127" s="207"/>
    </row>
    <row r="128" spans="1:16" ht="16.5" thickBot="1" x14ac:dyDescent="0.3">
      <c r="A128" s="85">
        <v>2</v>
      </c>
      <c r="B128" s="85">
        <v>3</v>
      </c>
      <c r="C128" s="92">
        <v>9</v>
      </c>
      <c r="D128" s="85"/>
      <c r="E128" s="93"/>
      <c r="F128" s="104" t="s">
        <v>98</v>
      </c>
      <c r="G128" s="129">
        <f>SUM(G129:G133)</f>
        <v>327804</v>
      </c>
      <c r="H128" s="129">
        <f>SUM(H129:H133)</f>
        <v>85512.01</v>
      </c>
      <c r="I128" s="129" t="e">
        <f>SUM(I129:I133)</f>
        <v>#REF!</v>
      </c>
      <c r="J128" s="180">
        <f t="shared" ref="J128:O128" si="31">SUM(J129:J133)</f>
        <v>77078.3</v>
      </c>
      <c r="K128" s="180">
        <f t="shared" si="31"/>
        <v>480</v>
      </c>
      <c r="L128" s="180">
        <f t="shared" si="31"/>
        <v>116541.09999999999</v>
      </c>
      <c r="M128" s="180">
        <f t="shared" si="31"/>
        <v>91216.950000000012</v>
      </c>
      <c r="N128" s="180">
        <f t="shared" si="31"/>
        <v>747.85</v>
      </c>
      <c r="O128" s="180">
        <f t="shared" si="31"/>
        <v>371576.20999999996</v>
      </c>
      <c r="P128" s="206">
        <f>P129+P130+P131+P132+P133+P134</f>
        <v>-43772.210000000021</v>
      </c>
    </row>
    <row r="129" spans="1:16" ht="15.75" x14ac:dyDescent="0.25">
      <c r="A129" s="85">
        <v>2</v>
      </c>
      <c r="B129" s="85">
        <v>3</v>
      </c>
      <c r="C129" s="92">
        <v>9</v>
      </c>
      <c r="D129" s="85">
        <v>1</v>
      </c>
      <c r="E129" s="85"/>
      <c r="F129" s="106" t="s">
        <v>99</v>
      </c>
      <c r="G129" s="107">
        <v>8000</v>
      </c>
      <c r="H129" s="110"/>
      <c r="I129" s="12" t="e">
        <f>+G129-#REF!</f>
        <v>#REF!</v>
      </c>
      <c r="J129" s="110">
        <v>50</v>
      </c>
      <c r="K129" s="110"/>
      <c r="L129" s="110">
        <v>120</v>
      </c>
      <c r="M129" s="110"/>
      <c r="N129" s="110"/>
      <c r="O129" s="103">
        <f t="shared" ref="O129:O134" si="32">+H129+J129+K129+L129+M129+N129</f>
        <v>170</v>
      </c>
      <c r="P129" s="207">
        <f>+G129-O129</f>
        <v>7830</v>
      </c>
    </row>
    <row r="130" spans="1:16" ht="31.5" x14ac:dyDescent="0.25">
      <c r="A130" s="85">
        <v>2</v>
      </c>
      <c r="B130" s="85">
        <v>3</v>
      </c>
      <c r="C130" s="92">
        <v>9</v>
      </c>
      <c r="D130" s="85">
        <v>2</v>
      </c>
      <c r="E130" s="85"/>
      <c r="F130" s="106" t="s">
        <v>100</v>
      </c>
      <c r="G130" s="108">
        <v>195000</v>
      </c>
      <c r="H130" s="110">
        <v>79914.009999999995</v>
      </c>
      <c r="I130" s="12" t="e">
        <f>+G130-#REF!</f>
        <v>#REF!</v>
      </c>
      <c r="J130" s="110">
        <f>22495.78+8966.17+9109.6</f>
        <v>40571.549999999996</v>
      </c>
      <c r="K130" s="110"/>
      <c r="L130" s="110">
        <v>110424.4</v>
      </c>
      <c r="M130" s="110">
        <f>19857.64+41206.78+450</f>
        <v>61514.42</v>
      </c>
      <c r="N130" s="110"/>
      <c r="O130" s="103">
        <f t="shared" si="32"/>
        <v>292424.38</v>
      </c>
      <c r="P130" s="207">
        <f>+G130-O130</f>
        <v>-97424.38</v>
      </c>
    </row>
    <row r="131" spans="1:16" ht="15.75" x14ac:dyDescent="0.25">
      <c r="A131" s="85">
        <v>2</v>
      </c>
      <c r="B131" s="119">
        <v>3</v>
      </c>
      <c r="C131" s="119">
        <v>9</v>
      </c>
      <c r="D131" s="85">
        <v>5</v>
      </c>
      <c r="E131" s="85"/>
      <c r="F131" s="135" t="s">
        <v>101</v>
      </c>
      <c r="G131" s="108">
        <v>10000</v>
      </c>
      <c r="H131" s="110"/>
      <c r="I131" s="12" t="e">
        <f>+G131-#REF!</f>
        <v>#REF!</v>
      </c>
      <c r="J131" s="110">
        <f>258.9+29108.9</f>
        <v>29367.800000000003</v>
      </c>
      <c r="K131" s="110"/>
      <c r="L131" s="110"/>
      <c r="M131" s="110">
        <v>29213.68</v>
      </c>
      <c r="N131" s="110"/>
      <c r="O131" s="103">
        <f t="shared" si="32"/>
        <v>58581.48</v>
      </c>
      <c r="P131" s="207">
        <f>+G131-O131</f>
        <v>-48581.48</v>
      </c>
    </row>
    <row r="132" spans="1:16" ht="31.5" x14ac:dyDescent="0.25">
      <c r="A132" s="85">
        <v>2</v>
      </c>
      <c r="B132" s="85">
        <v>3</v>
      </c>
      <c r="C132" s="92">
        <v>9</v>
      </c>
      <c r="D132" s="85">
        <v>8</v>
      </c>
      <c r="E132" s="85"/>
      <c r="F132" s="132" t="s">
        <v>102</v>
      </c>
      <c r="G132" s="108">
        <v>20000</v>
      </c>
      <c r="H132" s="110">
        <v>2600</v>
      </c>
      <c r="I132" s="12" t="e">
        <f>+G132-#REF!</f>
        <v>#REF!</v>
      </c>
      <c r="J132" s="110"/>
      <c r="K132" s="110"/>
      <c r="L132" s="110"/>
      <c r="M132" s="110"/>
      <c r="N132" s="110"/>
      <c r="O132" s="103">
        <f t="shared" si="32"/>
        <v>2600</v>
      </c>
      <c r="P132" s="207">
        <f>+G132-O132</f>
        <v>17400</v>
      </c>
    </row>
    <row r="133" spans="1:16" ht="15.75" x14ac:dyDescent="0.25">
      <c r="A133" s="85">
        <v>2</v>
      </c>
      <c r="B133" s="85">
        <v>3</v>
      </c>
      <c r="C133" s="92">
        <v>9</v>
      </c>
      <c r="D133" s="85">
        <v>9</v>
      </c>
      <c r="E133" s="85"/>
      <c r="F133" s="132" t="s">
        <v>103</v>
      </c>
      <c r="G133" s="108">
        <v>94804</v>
      </c>
      <c r="H133" s="110">
        <f>100+100+100+100+100+195+1200+1103</f>
        <v>2998</v>
      </c>
      <c r="I133" s="12" t="e">
        <f>+G133-#REF!</f>
        <v>#REF!</v>
      </c>
      <c r="J133" s="110">
        <f>6830+258.95</f>
        <v>7088.95</v>
      </c>
      <c r="K133" s="110">
        <v>480</v>
      </c>
      <c r="L133" s="110">
        <f>3957+517.9+560+143.95+817.85</f>
        <v>5996.7</v>
      </c>
      <c r="M133" s="110">
        <f>488.85</f>
        <v>488.85</v>
      </c>
      <c r="N133" s="110">
        <v>747.85</v>
      </c>
      <c r="O133" s="103">
        <f t="shared" si="32"/>
        <v>17800.349999999999</v>
      </c>
      <c r="P133" s="207">
        <f>+G133-O133</f>
        <v>77003.649999999994</v>
      </c>
    </row>
    <row r="134" spans="1:16" ht="15.75" x14ac:dyDescent="0.25">
      <c r="A134" s="85">
        <v>2</v>
      </c>
      <c r="B134" s="85">
        <v>3</v>
      </c>
      <c r="C134" s="92">
        <v>9</v>
      </c>
      <c r="D134" s="85">
        <v>9</v>
      </c>
      <c r="E134" s="85">
        <v>2</v>
      </c>
      <c r="F134" s="132" t="s">
        <v>104</v>
      </c>
      <c r="G134" s="108"/>
      <c r="H134" s="110">
        <v>0</v>
      </c>
      <c r="I134" s="12">
        <v>0</v>
      </c>
      <c r="J134" s="110">
        <v>0</v>
      </c>
      <c r="K134" s="110"/>
      <c r="L134" s="110"/>
      <c r="M134" s="110"/>
      <c r="N134" s="110"/>
      <c r="O134" s="103">
        <f t="shared" si="32"/>
        <v>0</v>
      </c>
      <c r="P134" s="207">
        <v>0</v>
      </c>
    </row>
    <row r="135" spans="1:16" ht="15.75" x14ac:dyDescent="0.25">
      <c r="A135" s="85"/>
      <c r="B135" s="85"/>
      <c r="C135" s="92"/>
      <c r="D135" s="85"/>
      <c r="E135" s="85"/>
      <c r="F135" s="106"/>
      <c r="G135" s="108"/>
      <c r="H135" s="110"/>
      <c r="I135" s="12"/>
      <c r="J135" s="110"/>
      <c r="K135" s="110"/>
      <c r="L135" s="110"/>
      <c r="M135" s="110"/>
      <c r="N135" s="110"/>
      <c r="O135" s="110"/>
      <c r="P135" s="207"/>
    </row>
    <row r="136" spans="1:16" ht="32.25" thickBot="1" x14ac:dyDescent="0.3">
      <c r="A136" s="85">
        <v>2</v>
      </c>
      <c r="B136" s="85">
        <v>6</v>
      </c>
      <c r="C136" s="92"/>
      <c r="D136" s="85"/>
      <c r="E136" s="93"/>
      <c r="F136" s="104" t="s">
        <v>105</v>
      </c>
      <c r="G136" s="96">
        <f>G137+G145+G149</f>
        <v>0</v>
      </c>
      <c r="H136" s="96">
        <f t="shared" ref="H136:O136" si="33">H137+H145+H149</f>
        <v>0</v>
      </c>
      <c r="I136" s="6" t="e">
        <f>I137+I145+I149+I138</f>
        <v>#REF!</v>
      </c>
      <c r="J136" s="96">
        <f t="shared" si="33"/>
        <v>0</v>
      </c>
      <c r="K136" s="96">
        <f t="shared" si="33"/>
        <v>0</v>
      </c>
      <c r="L136" s="96">
        <f t="shared" si="33"/>
        <v>10815.64</v>
      </c>
      <c r="M136" s="96">
        <f t="shared" si="33"/>
        <v>0</v>
      </c>
      <c r="N136" s="96">
        <f t="shared" si="33"/>
        <v>0</v>
      </c>
      <c r="O136" s="96">
        <f t="shared" si="33"/>
        <v>10815.64</v>
      </c>
      <c r="P136" s="202">
        <f>P137+P145+P149+P138</f>
        <v>-10815.64</v>
      </c>
    </row>
    <row r="137" spans="1:16" ht="16.5" thickBot="1" x14ac:dyDescent="0.3">
      <c r="A137" s="85">
        <v>2</v>
      </c>
      <c r="B137" s="85">
        <v>6</v>
      </c>
      <c r="C137" s="92">
        <v>1</v>
      </c>
      <c r="D137" s="85"/>
      <c r="E137" s="119"/>
      <c r="F137" s="128" t="s">
        <v>106</v>
      </c>
      <c r="G137" s="97">
        <f>G139+G140+G141+G143+G144</f>
        <v>0</v>
      </c>
      <c r="H137" s="169">
        <f t="shared" ref="H137:O137" si="34">+H138+H139+H140+H141+H142+H143</f>
        <v>0</v>
      </c>
      <c r="I137" s="7">
        <f>I139+I140+I141+I143+I144</f>
        <v>0</v>
      </c>
      <c r="J137" s="169">
        <f t="shared" si="34"/>
        <v>0</v>
      </c>
      <c r="K137" s="169">
        <f t="shared" si="34"/>
        <v>0</v>
      </c>
      <c r="L137" s="169">
        <f t="shared" si="34"/>
        <v>10815.64</v>
      </c>
      <c r="M137" s="169">
        <f t="shared" si="34"/>
        <v>0</v>
      </c>
      <c r="N137" s="169">
        <f t="shared" si="34"/>
        <v>0</v>
      </c>
      <c r="O137" s="169">
        <f t="shared" si="34"/>
        <v>10815.64</v>
      </c>
      <c r="P137" s="233">
        <f>P139+P140+P141+P143+P144</f>
        <v>-10815.64</v>
      </c>
    </row>
    <row r="138" spans="1:16" ht="16.5" thickBot="1" x14ac:dyDescent="0.3">
      <c r="A138" s="85">
        <v>2</v>
      </c>
      <c r="B138" s="85">
        <v>6</v>
      </c>
      <c r="C138" s="92">
        <v>8</v>
      </c>
      <c r="D138" s="85">
        <v>8</v>
      </c>
      <c r="E138" s="119"/>
      <c r="F138" s="136" t="s">
        <v>107</v>
      </c>
      <c r="G138" s="108">
        <f>G140+G141+G142+G144+G145</f>
        <v>0</v>
      </c>
      <c r="H138" s="124">
        <f>H140+H141+H142+H144+H145</f>
        <v>0</v>
      </c>
      <c r="I138" s="7" t="e">
        <f>+G138-#REF!</f>
        <v>#REF!</v>
      </c>
      <c r="J138" s="124">
        <f>J140+J141+J142+J144+J145</f>
        <v>0</v>
      </c>
      <c r="K138" s="124">
        <f>K140+K141+K142+K144+K145</f>
        <v>0</v>
      </c>
      <c r="L138" s="124"/>
      <c r="M138" s="124"/>
      <c r="N138" s="224"/>
      <c r="O138" s="103">
        <f t="shared" ref="O138:O144" si="35">+H138+J138+K138+L138+M138+N138</f>
        <v>0</v>
      </c>
      <c r="P138" s="214">
        <f>+G138-O138</f>
        <v>0</v>
      </c>
    </row>
    <row r="139" spans="1:16" ht="31.5" x14ac:dyDescent="0.25">
      <c r="A139" s="85">
        <v>2</v>
      </c>
      <c r="B139" s="85">
        <v>6</v>
      </c>
      <c r="C139" s="92">
        <v>1</v>
      </c>
      <c r="D139" s="85">
        <v>1</v>
      </c>
      <c r="E139" s="119"/>
      <c r="F139" s="127" t="s">
        <v>108</v>
      </c>
      <c r="G139" s="108"/>
      <c r="H139" s="110"/>
      <c r="I139" s="13"/>
      <c r="J139" s="110"/>
      <c r="K139" s="110"/>
      <c r="L139" s="110">
        <v>10815.64</v>
      </c>
      <c r="M139" s="110"/>
      <c r="N139" s="183"/>
      <c r="O139" s="103">
        <f t="shared" si="35"/>
        <v>10815.64</v>
      </c>
      <c r="P139" s="207">
        <f>+G139-O139</f>
        <v>-10815.64</v>
      </c>
    </row>
    <row r="140" spans="1:16" ht="15.75" x14ac:dyDescent="0.25">
      <c r="A140" s="85">
        <v>2</v>
      </c>
      <c r="B140" s="85">
        <v>6</v>
      </c>
      <c r="C140" s="92">
        <v>1</v>
      </c>
      <c r="D140" s="85">
        <v>4</v>
      </c>
      <c r="E140" s="119"/>
      <c r="F140" s="127" t="s">
        <v>109</v>
      </c>
      <c r="G140" s="108"/>
      <c r="H140" s="110"/>
      <c r="I140" s="12"/>
      <c r="J140" s="110"/>
      <c r="K140" s="110"/>
      <c r="L140" s="110"/>
      <c r="M140" s="110"/>
      <c r="N140" s="183"/>
      <c r="O140" s="103">
        <f t="shared" si="35"/>
        <v>0</v>
      </c>
      <c r="P140" s="207"/>
    </row>
    <row r="141" spans="1:16" ht="15.75" x14ac:dyDescent="0.25">
      <c r="A141" s="85">
        <v>2</v>
      </c>
      <c r="B141" s="85">
        <v>6</v>
      </c>
      <c r="C141" s="92">
        <v>1</v>
      </c>
      <c r="D141" s="85">
        <v>7</v>
      </c>
      <c r="E141" s="119"/>
      <c r="F141" s="127" t="s">
        <v>110</v>
      </c>
      <c r="G141" s="108"/>
      <c r="H141" s="110">
        <v>0</v>
      </c>
      <c r="I141" s="12">
        <v>0</v>
      </c>
      <c r="J141" s="110">
        <v>0</v>
      </c>
      <c r="K141" s="110"/>
      <c r="L141" s="110"/>
      <c r="M141" s="110"/>
      <c r="N141" s="183"/>
      <c r="O141" s="103">
        <f t="shared" si="35"/>
        <v>0</v>
      </c>
      <c r="P141" s="207">
        <v>0</v>
      </c>
    </row>
    <row r="142" spans="1:16" ht="15.75" x14ac:dyDescent="0.25">
      <c r="A142" s="85">
        <v>2</v>
      </c>
      <c r="B142" s="85">
        <v>6</v>
      </c>
      <c r="C142" s="92">
        <v>1</v>
      </c>
      <c r="D142" s="85">
        <v>8</v>
      </c>
      <c r="E142" s="119"/>
      <c r="F142" s="127" t="s">
        <v>111</v>
      </c>
      <c r="G142" s="108"/>
      <c r="H142" s="110"/>
      <c r="I142" s="12"/>
      <c r="J142" s="110"/>
      <c r="K142" s="110"/>
      <c r="L142" s="110"/>
      <c r="M142" s="110"/>
      <c r="N142" s="183"/>
      <c r="O142" s="103">
        <f t="shared" si="35"/>
        <v>0</v>
      </c>
      <c r="P142" s="207"/>
    </row>
    <row r="143" spans="1:16" ht="31.5" x14ac:dyDescent="0.25">
      <c r="A143" s="85">
        <v>2</v>
      </c>
      <c r="B143" s="85">
        <v>6</v>
      </c>
      <c r="C143" s="92">
        <v>1</v>
      </c>
      <c r="D143" s="85">
        <v>9</v>
      </c>
      <c r="E143" s="119"/>
      <c r="F143" s="127" t="s">
        <v>112</v>
      </c>
      <c r="G143" s="108"/>
      <c r="H143" s="110"/>
      <c r="I143" s="12"/>
      <c r="J143" s="110"/>
      <c r="K143" s="110"/>
      <c r="L143" s="110"/>
      <c r="M143" s="110"/>
      <c r="N143" s="183"/>
      <c r="O143" s="103">
        <f t="shared" si="35"/>
        <v>0</v>
      </c>
      <c r="P143" s="207"/>
    </row>
    <row r="144" spans="1:16" ht="15.75" x14ac:dyDescent="0.25">
      <c r="A144" s="85"/>
      <c r="B144" s="85"/>
      <c r="C144" s="92"/>
      <c r="D144" s="85"/>
      <c r="E144" s="93"/>
      <c r="F144" s="128"/>
      <c r="G144" s="125"/>
      <c r="H144" s="96"/>
      <c r="I144" s="6">
        <f>+G144</f>
        <v>0</v>
      </c>
      <c r="J144" s="96"/>
      <c r="K144" s="96"/>
      <c r="L144" s="96"/>
      <c r="M144" s="96"/>
      <c r="N144" s="184"/>
      <c r="O144" s="103">
        <f t="shared" si="35"/>
        <v>0</v>
      </c>
      <c r="P144" s="202"/>
    </row>
    <row r="145" spans="1:33" ht="32.25" thickBot="1" x14ac:dyDescent="0.3">
      <c r="A145" s="85">
        <v>2</v>
      </c>
      <c r="B145" s="85">
        <v>6</v>
      </c>
      <c r="C145" s="92">
        <v>2</v>
      </c>
      <c r="D145" s="85"/>
      <c r="E145" s="93"/>
      <c r="F145" s="128" t="s">
        <v>113</v>
      </c>
      <c r="G145" s="95">
        <f t="shared" ref="G145:P145" si="36">G146+G147</f>
        <v>0</v>
      </c>
      <c r="H145" s="117">
        <f t="shared" si="36"/>
        <v>0</v>
      </c>
      <c r="I145" s="19" t="e">
        <f t="shared" si="36"/>
        <v>#REF!</v>
      </c>
      <c r="J145" s="117">
        <f t="shared" si="36"/>
        <v>0</v>
      </c>
      <c r="K145" s="117">
        <f t="shared" si="36"/>
        <v>0</v>
      </c>
      <c r="L145" s="117">
        <f t="shared" si="36"/>
        <v>0</v>
      </c>
      <c r="M145" s="117">
        <f t="shared" si="36"/>
        <v>0</v>
      </c>
      <c r="N145" s="117">
        <f t="shared" si="36"/>
        <v>0</v>
      </c>
      <c r="O145" s="110">
        <f t="shared" si="36"/>
        <v>0</v>
      </c>
      <c r="P145" s="211">
        <f t="shared" si="36"/>
        <v>0</v>
      </c>
    </row>
    <row r="146" spans="1:33" ht="31.5" x14ac:dyDescent="0.25">
      <c r="A146" s="85">
        <v>2</v>
      </c>
      <c r="B146" s="85">
        <v>6</v>
      </c>
      <c r="C146" s="92">
        <v>2</v>
      </c>
      <c r="D146" s="85">
        <v>1</v>
      </c>
      <c r="E146" s="119"/>
      <c r="F146" s="106" t="s">
        <v>114</v>
      </c>
      <c r="G146" s="108"/>
      <c r="H146" s="110">
        <v>0</v>
      </c>
      <c r="I146" s="12">
        <v>0</v>
      </c>
      <c r="J146" s="110">
        <v>0</v>
      </c>
      <c r="K146" s="110"/>
      <c r="L146" s="110"/>
      <c r="M146" s="183"/>
      <c r="N146" s="109"/>
      <c r="O146" s="182">
        <f>+H146+J146+K146+L146+M146+N146</f>
        <v>0</v>
      </c>
      <c r="P146" s="207">
        <v>0</v>
      </c>
    </row>
    <row r="147" spans="1:33" ht="15.75" x14ac:dyDescent="0.25">
      <c r="A147" s="85">
        <v>2</v>
      </c>
      <c r="B147" s="85">
        <v>6</v>
      </c>
      <c r="C147" s="92">
        <v>2</v>
      </c>
      <c r="D147" s="85">
        <v>3</v>
      </c>
      <c r="E147" s="119"/>
      <c r="F147" s="106" t="s">
        <v>115</v>
      </c>
      <c r="G147" s="108"/>
      <c r="H147" s="110">
        <f>G147*12</f>
        <v>0</v>
      </c>
      <c r="I147" s="12" t="e">
        <f>+G147-#REF!</f>
        <v>#REF!</v>
      </c>
      <c r="J147" s="110"/>
      <c r="K147" s="110"/>
      <c r="L147" s="110"/>
      <c r="M147" s="183"/>
      <c r="N147" s="110"/>
      <c r="O147" s="103">
        <f>+H147+J147+K147+L147+M147+N147</f>
        <v>0</v>
      </c>
      <c r="P147" s="207"/>
    </row>
    <row r="148" spans="1:33" ht="15.75" x14ac:dyDescent="0.25">
      <c r="A148" s="85"/>
      <c r="B148" s="85"/>
      <c r="C148" s="92"/>
      <c r="D148" s="85"/>
      <c r="E148" s="93"/>
      <c r="F148" s="104"/>
      <c r="G148" s="125"/>
      <c r="H148" s="96"/>
      <c r="I148" s="6"/>
      <c r="J148" s="96"/>
      <c r="K148" s="96"/>
      <c r="L148" s="96"/>
      <c r="M148" s="184"/>
      <c r="N148" s="96"/>
      <c r="O148" s="96"/>
      <c r="P148" s="202"/>
    </row>
    <row r="149" spans="1:33" ht="48" thickBot="1" x14ac:dyDescent="0.3">
      <c r="A149" s="85">
        <v>2</v>
      </c>
      <c r="B149" s="85">
        <v>6</v>
      </c>
      <c r="C149" s="92">
        <v>4</v>
      </c>
      <c r="D149" s="85"/>
      <c r="E149" s="93"/>
      <c r="F149" s="104" t="s">
        <v>116</v>
      </c>
      <c r="G149" s="125">
        <f>G151+G152+G150</f>
        <v>0</v>
      </c>
      <c r="H149" s="110">
        <f t="shared" ref="H149:P149" si="37">H150+H151</f>
        <v>0</v>
      </c>
      <c r="I149" s="12">
        <f t="shared" si="37"/>
        <v>0</v>
      </c>
      <c r="J149" s="110">
        <f t="shared" si="37"/>
        <v>0</v>
      </c>
      <c r="K149" s="110">
        <f t="shared" si="37"/>
        <v>0</v>
      </c>
      <c r="L149" s="110">
        <f t="shared" si="37"/>
        <v>0</v>
      </c>
      <c r="M149" s="183">
        <f t="shared" si="37"/>
        <v>0</v>
      </c>
      <c r="N149" s="117">
        <f t="shared" si="37"/>
        <v>0</v>
      </c>
      <c r="O149" s="117">
        <f t="shared" si="37"/>
        <v>0</v>
      </c>
      <c r="P149" s="207">
        <f t="shared" si="37"/>
        <v>0</v>
      </c>
    </row>
    <row r="150" spans="1:33" ht="31.5" x14ac:dyDescent="0.25">
      <c r="A150" s="85">
        <v>2</v>
      </c>
      <c r="B150" s="85">
        <v>6</v>
      </c>
      <c r="C150" s="92">
        <v>4</v>
      </c>
      <c r="D150" s="85"/>
      <c r="E150" s="93"/>
      <c r="F150" s="127" t="s">
        <v>116</v>
      </c>
      <c r="G150" s="100"/>
      <c r="H150" s="109">
        <v>0</v>
      </c>
      <c r="I150" s="13">
        <v>0</v>
      </c>
      <c r="J150" s="109">
        <v>0</v>
      </c>
      <c r="K150" s="109"/>
      <c r="L150" s="109"/>
      <c r="M150" s="109"/>
      <c r="N150" s="110"/>
      <c r="O150" s="103">
        <f>+H150+J150+K150+L150+M150+N150</f>
        <v>0</v>
      </c>
      <c r="P150" s="208">
        <v>0</v>
      </c>
    </row>
    <row r="151" spans="1:33" ht="15.75" x14ac:dyDescent="0.25">
      <c r="A151" s="85">
        <v>2</v>
      </c>
      <c r="B151" s="85">
        <v>6</v>
      </c>
      <c r="C151" s="92">
        <v>4</v>
      </c>
      <c r="D151" s="85">
        <v>1</v>
      </c>
      <c r="E151" s="85"/>
      <c r="F151" s="127" t="s">
        <v>117</v>
      </c>
      <c r="G151" s="108"/>
      <c r="H151" s="110">
        <v>0</v>
      </c>
      <c r="I151" s="12">
        <v>0</v>
      </c>
      <c r="J151" s="110">
        <v>0</v>
      </c>
      <c r="K151" s="110"/>
      <c r="L151" s="110"/>
      <c r="M151" s="110"/>
      <c r="N151" s="110"/>
      <c r="O151" s="103">
        <f>+H151+J151+K151+L151+M151</f>
        <v>0</v>
      </c>
      <c r="P151" s="207">
        <v>0</v>
      </c>
      <c r="Q151" s="11"/>
    </row>
    <row r="152" spans="1:33" ht="15.75" x14ac:dyDescent="0.25">
      <c r="A152" s="85">
        <v>2</v>
      </c>
      <c r="B152" s="85">
        <v>6</v>
      </c>
      <c r="C152" s="92">
        <v>4</v>
      </c>
      <c r="D152" s="85">
        <v>7</v>
      </c>
      <c r="E152" s="85"/>
      <c r="F152" s="127" t="s">
        <v>118</v>
      </c>
      <c r="G152" s="108">
        <v>0</v>
      </c>
      <c r="H152" s="110">
        <v>0</v>
      </c>
      <c r="I152" s="12">
        <v>0</v>
      </c>
      <c r="J152" s="110">
        <v>0</v>
      </c>
      <c r="K152" s="110"/>
      <c r="L152" s="110"/>
      <c r="M152" s="110"/>
      <c r="N152" s="110"/>
      <c r="O152" s="103">
        <f>+H152+J152+K152+L152+M152</f>
        <v>0</v>
      </c>
      <c r="P152" s="207">
        <v>0</v>
      </c>
    </row>
    <row r="153" spans="1:33" ht="16.5" thickBot="1" x14ac:dyDescent="0.3">
      <c r="A153" s="85"/>
      <c r="B153" s="85"/>
      <c r="C153" s="92"/>
      <c r="D153" s="84"/>
      <c r="E153" s="85"/>
      <c r="F153" s="127"/>
      <c r="G153" s="111"/>
      <c r="H153" s="117"/>
      <c r="I153" s="12"/>
      <c r="J153" s="117"/>
      <c r="K153" s="117"/>
      <c r="L153" s="117"/>
      <c r="M153" s="117"/>
      <c r="N153" s="117"/>
      <c r="O153" s="117"/>
      <c r="P153" s="207"/>
    </row>
    <row r="154" spans="1:33" ht="18" thickBot="1" x14ac:dyDescent="0.35">
      <c r="A154" s="137"/>
      <c r="B154" s="137"/>
      <c r="C154" s="138"/>
      <c r="D154" s="139"/>
      <c r="E154" s="139"/>
      <c r="F154" s="140" t="s">
        <v>119</v>
      </c>
      <c r="G154" s="95">
        <f>G110+G48+G12</f>
        <v>42039167</v>
      </c>
      <c r="H154" s="165">
        <f>H110+H48+H12</f>
        <v>3087103.98</v>
      </c>
      <c r="I154" s="165" t="e">
        <f t="shared" ref="I154:O154" si="38">I110+I48+I12</f>
        <v>#REF!</v>
      </c>
      <c r="J154" s="165">
        <f t="shared" si="38"/>
        <v>3272561.4400000004</v>
      </c>
      <c r="K154" s="165">
        <f>K110+K48+K12</f>
        <v>3296314.58</v>
      </c>
      <c r="L154" s="165">
        <f>L110+L48+L12</f>
        <v>3958386.4610000001</v>
      </c>
      <c r="M154" s="165">
        <f>M110+M48+M12</f>
        <v>3698270.74</v>
      </c>
      <c r="N154" s="165">
        <f>N110+N48+N12</f>
        <v>3595808.3900000006</v>
      </c>
      <c r="O154" s="165">
        <f t="shared" si="38"/>
        <v>20908445.590999998</v>
      </c>
      <c r="P154" s="234">
        <f>P110+P48+P12</f>
        <v>21130722.409000002</v>
      </c>
      <c r="Q154" s="11"/>
      <c r="T154" s="23"/>
      <c r="Y154" s="264"/>
      <c r="Z154" s="264"/>
      <c r="AB154" s="264"/>
      <c r="AC154" s="264"/>
    </row>
    <row r="155" spans="1:33" ht="17.25" x14ac:dyDescent="0.3">
      <c r="A155" s="141"/>
      <c r="B155" s="141"/>
      <c r="C155" s="66"/>
      <c r="D155" s="66"/>
      <c r="E155" s="66"/>
      <c r="F155" s="66"/>
      <c r="G155" s="142"/>
      <c r="H155" s="143"/>
      <c r="I155" s="1"/>
      <c r="J155" s="23"/>
      <c r="K155" s="23"/>
      <c r="L155" s="23"/>
      <c r="M155" s="23"/>
      <c r="N155" s="23"/>
      <c r="O155" s="23"/>
      <c r="P155" s="162"/>
      <c r="Q155" s="194"/>
      <c r="R155" s="194"/>
      <c r="S155" s="11"/>
      <c r="Y155" s="263"/>
      <c r="Z155" s="263"/>
      <c r="AB155" s="263"/>
      <c r="AC155" s="263"/>
      <c r="AE155" s="11"/>
    </row>
    <row r="156" spans="1:33" ht="18.75" x14ac:dyDescent="0.3">
      <c r="A156" s="141"/>
      <c r="B156" s="141"/>
      <c r="C156" s="66"/>
      <c r="D156" s="66"/>
      <c r="E156" s="144"/>
      <c r="F156" s="145"/>
      <c r="G156" s="142"/>
      <c r="H156" s="146"/>
      <c r="I156" s="31"/>
      <c r="J156" s="23"/>
      <c r="K156" s="23"/>
      <c r="L156" s="23"/>
      <c r="M156" s="23"/>
      <c r="N156" s="23"/>
      <c r="O156" s="23"/>
      <c r="P156" s="173"/>
      <c r="Q156" s="195"/>
      <c r="R156" s="195"/>
      <c r="T156" s="23"/>
    </row>
    <row r="157" spans="1:33" ht="18" x14ac:dyDescent="0.25">
      <c r="A157" s="141"/>
      <c r="B157" s="141"/>
      <c r="C157" s="66"/>
      <c r="D157" s="66"/>
      <c r="E157" s="147"/>
      <c r="F157" s="148"/>
      <c r="G157" s="149"/>
      <c r="H157" s="150"/>
      <c r="I157" s="33"/>
      <c r="J157" s="34"/>
      <c r="K157" s="34"/>
      <c r="L157" s="34"/>
      <c r="M157" s="34"/>
      <c r="N157" s="34"/>
      <c r="O157" s="34"/>
      <c r="P157" s="187"/>
      <c r="Q157" s="11"/>
      <c r="R157" s="11"/>
    </row>
    <row r="158" spans="1:33" ht="19.5" thickBot="1" x14ac:dyDescent="0.35">
      <c r="A158" s="64"/>
      <c r="B158" s="64"/>
      <c r="C158" s="64"/>
      <c r="D158" s="64"/>
      <c r="E158" s="64"/>
      <c r="F158" s="148"/>
      <c r="G158" s="151"/>
      <c r="H158" s="151"/>
      <c r="I158" s="35"/>
      <c r="J158" s="37"/>
      <c r="K158" s="37"/>
      <c r="L158" s="37"/>
      <c r="M158" s="37"/>
      <c r="N158" s="37"/>
      <c r="O158" s="37"/>
      <c r="P158" s="188"/>
      <c r="Q158" s="11"/>
      <c r="Z158" s="17"/>
      <c r="AA158" s="17"/>
      <c r="AB158" s="36"/>
      <c r="AD158" s="38"/>
      <c r="AE158" s="11"/>
    </row>
    <row r="159" spans="1:33" ht="18.75" x14ac:dyDescent="0.3">
      <c r="A159" s="64"/>
      <c r="B159" s="64"/>
      <c r="C159" s="64"/>
      <c r="D159" s="64"/>
      <c r="E159" s="64"/>
      <c r="F159" s="152" t="s">
        <v>120</v>
      </c>
      <c r="G159" s="225"/>
      <c r="H159" s="225"/>
      <c r="I159" s="226"/>
      <c r="J159" s="39"/>
      <c r="K159" s="39"/>
      <c r="L159" s="39"/>
      <c r="M159" s="39"/>
      <c r="N159" s="39"/>
      <c r="O159" s="39"/>
      <c r="P159" s="189"/>
      <c r="Q159" s="36"/>
      <c r="S159" s="23"/>
      <c r="T159" s="36"/>
      <c r="U159" s="40"/>
      <c r="W159" s="38"/>
      <c r="X159" s="18"/>
      <c r="Y159" s="36"/>
      <c r="Z159" s="38"/>
      <c r="AF159" s="11"/>
    </row>
    <row r="160" spans="1:33" ht="18.75" x14ac:dyDescent="0.3">
      <c r="A160" s="64"/>
      <c r="B160" s="64"/>
      <c r="C160" s="64"/>
      <c r="D160" s="64"/>
      <c r="E160" s="64"/>
      <c r="F160" s="148" t="s">
        <v>121</v>
      </c>
      <c r="G160" s="227"/>
      <c r="H160" s="225"/>
      <c r="I160" s="226"/>
      <c r="J160" s="39"/>
      <c r="K160" s="39"/>
      <c r="L160" s="39"/>
      <c r="M160" s="39"/>
      <c r="N160" s="39"/>
      <c r="O160" s="39"/>
      <c r="P160" s="190"/>
      <c r="Q160" s="40"/>
      <c r="R160" s="11"/>
      <c r="T160" s="11"/>
      <c r="U160" s="11"/>
      <c r="W160" s="1"/>
      <c r="AA160" s="11"/>
      <c r="AB160" s="41"/>
      <c r="AF160" s="11"/>
      <c r="AG160" s="11"/>
    </row>
    <row r="161" spans="1:35" ht="18.75" customHeight="1" x14ac:dyDescent="0.3">
      <c r="A161" s="64"/>
      <c r="B161" s="64"/>
      <c r="C161" s="64"/>
      <c r="D161" s="64"/>
      <c r="E161" s="64"/>
      <c r="F161" s="148"/>
      <c r="G161" s="227"/>
      <c r="H161" s="225"/>
      <c r="I161" s="226"/>
      <c r="J161" s="39"/>
      <c r="K161" s="39"/>
      <c r="L161" s="39"/>
      <c r="M161" s="39"/>
      <c r="N161" s="39"/>
      <c r="O161" s="39"/>
      <c r="P161" s="190"/>
      <c r="Q161" s="11"/>
      <c r="T161" s="11"/>
      <c r="U161" s="11"/>
      <c r="W161" s="1"/>
      <c r="AA161" s="11"/>
      <c r="AB161" s="41"/>
      <c r="AF161" s="11"/>
      <c r="AG161" s="11"/>
    </row>
    <row r="162" spans="1:35" ht="30" customHeight="1" x14ac:dyDescent="0.3">
      <c r="A162" s="64"/>
      <c r="B162" s="64"/>
      <c r="C162" s="64"/>
      <c r="D162" s="64"/>
      <c r="E162" s="64"/>
      <c r="F162" s="148"/>
      <c r="G162" s="225"/>
      <c r="H162" s="225"/>
      <c r="I162" s="226"/>
      <c r="J162" s="39"/>
      <c r="K162" s="39"/>
      <c r="L162" s="39"/>
      <c r="M162" s="39"/>
      <c r="N162" s="39"/>
      <c r="O162" s="39"/>
      <c r="P162" s="190"/>
      <c r="Q162" s="41"/>
      <c r="T162" s="41"/>
      <c r="W162" s="1"/>
      <c r="Y162" s="41"/>
      <c r="AB162" s="42"/>
      <c r="AD162" s="23"/>
      <c r="AE162" s="11"/>
      <c r="AF162" s="11"/>
      <c r="AG162" s="11"/>
    </row>
    <row r="163" spans="1:35" ht="18.75" customHeight="1" x14ac:dyDescent="0.3">
      <c r="A163" s="64"/>
      <c r="B163" s="64"/>
      <c r="C163" s="64"/>
      <c r="D163" s="64"/>
      <c r="E163" s="64"/>
      <c r="F163" s="148"/>
      <c r="G163" s="227"/>
      <c r="H163" s="23"/>
      <c r="I163" s="226"/>
      <c r="J163" s="228"/>
      <c r="K163" s="228"/>
      <c r="L163" s="228"/>
      <c r="M163" s="228"/>
      <c r="N163" s="161"/>
      <c r="O163" s="161"/>
      <c r="P163" s="190"/>
      <c r="Q163" s="42"/>
      <c r="S163" s="23"/>
      <c r="T163" s="42"/>
      <c r="U163" s="23"/>
      <c r="V163" s="23"/>
      <c r="W163" s="23"/>
      <c r="X163" s="23"/>
      <c r="Y163" s="42"/>
      <c r="Z163" s="23"/>
      <c r="AA163" s="23"/>
      <c r="AB163" s="45"/>
      <c r="AD163" s="23"/>
      <c r="AG163" s="11"/>
    </row>
    <row r="164" spans="1:35" ht="18.75" x14ac:dyDescent="0.3">
      <c r="A164" s="64"/>
      <c r="B164" s="64"/>
      <c r="C164" s="64"/>
      <c r="D164" s="64"/>
      <c r="E164" s="64"/>
      <c r="F164" s="148"/>
      <c r="G164" s="227"/>
      <c r="H164" s="23"/>
      <c r="I164" s="226"/>
      <c r="J164" s="228"/>
      <c r="K164" s="228"/>
      <c r="L164" s="228"/>
      <c r="M164" s="228"/>
      <c r="N164" s="161"/>
      <c r="O164" s="161"/>
      <c r="P164" s="190"/>
      <c r="Q164" s="42"/>
      <c r="S164" s="23"/>
      <c r="T164" s="42"/>
      <c r="U164" s="23"/>
      <c r="V164" s="23"/>
      <c r="W164" s="23"/>
      <c r="X164" s="23"/>
      <c r="Y164" s="42"/>
      <c r="Z164" s="23"/>
      <c r="AA164" s="23"/>
      <c r="AB164" s="45"/>
      <c r="AD164" s="23"/>
      <c r="AG164" s="11"/>
    </row>
    <row r="165" spans="1:35" ht="18" customHeight="1" x14ac:dyDescent="0.25">
      <c r="A165" s="64"/>
      <c r="B165" s="64"/>
      <c r="C165" s="64"/>
      <c r="D165" s="64"/>
      <c r="E165" s="64"/>
      <c r="F165" s="148"/>
      <c r="G165" s="229"/>
      <c r="H165" s="23"/>
      <c r="I165" s="43"/>
      <c r="J165" s="23"/>
      <c r="K165" s="23"/>
      <c r="L165" s="23"/>
      <c r="M165" s="23"/>
      <c r="N165" s="11"/>
      <c r="O165" s="11"/>
      <c r="P165" s="190"/>
      <c r="Q165" s="186"/>
      <c r="S165" s="11"/>
      <c r="T165" s="42"/>
      <c r="U165" s="23"/>
      <c r="V165" s="23"/>
      <c r="W165" s="23"/>
      <c r="X165" s="23"/>
      <c r="Y165" s="47"/>
      <c r="Z165" s="23"/>
      <c r="AA165" s="23"/>
      <c r="AB165" s="1"/>
      <c r="AD165" s="23"/>
      <c r="AI165" s="11"/>
    </row>
    <row r="166" spans="1:35" ht="18.75" thickBot="1" x14ac:dyDescent="0.3">
      <c r="A166" s="64"/>
      <c r="B166" s="64"/>
      <c r="C166" s="64"/>
      <c r="D166" s="64"/>
      <c r="E166" s="64"/>
      <c r="F166" s="156"/>
      <c r="G166" s="229"/>
      <c r="H166" s="23"/>
      <c r="I166" s="43"/>
      <c r="J166" s="23"/>
      <c r="K166" s="23"/>
      <c r="L166" s="23"/>
      <c r="M166" s="23"/>
      <c r="N166" s="23"/>
      <c r="O166" s="23"/>
      <c r="P166" s="189"/>
      <c r="Q166" s="50"/>
      <c r="R166" s="11"/>
      <c r="T166" s="11"/>
      <c r="U166" s="23"/>
      <c r="V166" s="23"/>
      <c r="W166" s="31"/>
      <c r="X166" s="23"/>
      <c r="Z166" s="23"/>
      <c r="AA166" s="23"/>
      <c r="AB166" s="1"/>
      <c r="AC166" s="11"/>
      <c r="AD166" s="23"/>
      <c r="AF166" s="11"/>
      <c r="AG166" s="11"/>
    </row>
    <row r="167" spans="1:35" ht="18" x14ac:dyDescent="0.25">
      <c r="A167" s="64"/>
      <c r="B167" s="64"/>
      <c r="C167" s="64"/>
      <c r="D167" s="64"/>
      <c r="E167" s="64"/>
      <c r="F167" s="148" t="s">
        <v>122</v>
      </c>
      <c r="G167" s="229"/>
      <c r="H167" s="23"/>
      <c r="I167" s="43"/>
      <c r="J167" s="23"/>
      <c r="K167" s="23"/>
      <c r="L167" s="23"/>
      <c r="M167" s="23"/>
      <c r="N167" s="23"/>
      <c r="O167" s="23"/>
      <c r="P167" s="189"/>
      <c r="Q167" s="50"/>
      <c r="R167" s="11"/>
      <c r="T167" s="11"/>
      <c r="U167" s="23"/>
      <c r="V167" s="23"/>
      <c r="W167" s="31"/>
      <c r="X167" s="23"/>
      <c r="Z167" s="23"/>
      <c r="AA167" s="23"/>
      <c r="AB167" s="1"/>
      <c r="AC167" s="11"/>
      <c r="AD167" s="23"/>
      <c r="AF167" s="11"/>
      <c r="AG167" s="11"/>
    </row>
    <row r="168" spans="1:35" ht="18" x14ac:dyDescent="0.25">
      <c r="A168" s="64"/>
      <c r="B168" s="64"/>
      <c r="C168" s="64"/>
      <c r="D168" s="64"/>
      <c r="E168" s="64"/>
      <c r="F168" s="148" t="s">
        <v>123</v>
      </c>
      <c r="G168" s="229"/>
      <c r="H168" s="23"/>
      <c r="I168" s="43"/>
      <c r="J168" s="23"/>
      <c r="K168" s="23"/>
      <c r="L168" s="23"/>
      <c r="M168" s="23"/>
      <c r="N168" s="23"/>
      <c r="O168" s="23"/>
      <c r="P168" s="189"/>
      <c r="Q168" s="1"/>
      <c r="R168" s="11"/>
      <c r="T168" s="18"/>
      <c r="U168" s="23"/>
      <c r="V168" s="23"/>
      <c r="W168" s="31"/>
      <c r="X168" s="23"/>
      <c r="Z168" s="23"/>
      <c r="AA168" s="23"/>
      <c r="AB168" s="11"/>
      <c r="AC168" s="11"/>
      <c r="AD168" s="23"/>
      <c r="AF168" s="11"/>
    </row>
    <row r="169" spans="1:35" ht="18" customHeight="1" x14ac:dyDescent="0.25">
      <c r="A169" s="64"/>
      <c r="B169" s="64"/>
      <c r="C169" s="64"/>
      <c r="D169" s="64"/>
      <c r="E169" s="64"/>
      <c r="F169" s="148"/>
      <c r="G169" s="157"/>
      <c r="H169" s="23"/>
      <c r="I169" s="48"/>
      <c r="J169" s="23"/>
      <c r="K169" s="23"/>
      <c r="L169" s="23"/>
      <c r="M169" s="23"/>
      <c r="N169" s="23"/>
      <c r="O169" s="23"/>
      <c r="P169" s="191"/>
      <c r="Q169" s="11"/>
      <c r="R169" s="11"/>
      <c r="T169" s="11"/>
      <c r="U169" s="23"/>
      <c r="V169" s="23"/>
      <c r="W169" s="50"/>
      <c r="X169" s="23"/>
      <c r="Y169" s="11"/>
      <c r="Z169" s="23"/>
      <c r="AA169" s="23"/>
      <c r="AB169" s="51"/>
      <c r="AD169" s="52"/>
      <c r="AH169" s="11"/>
    </row>
    <row r="170" spans="1:35" ht="18.75" thickBot="1" x14ac:dyDescent="0.3">
      <c r="A170" s="64"/>
      <c r="B170" s="64"/>
      <c r="C170" s="64"/>
      <c r="D170" s="64"/>
      <c r="E170" s="64"/>
      <c r="F170" s="141"/>
      <c r="G170" s="148"/>
      <c r="H170" s="23"/>
      <c r="I170" s="43"/>
      <c r="J170" s="23"/>
      <c r="K170" s="171"/>
      <c r="L170" s="171"/>
      <c r="M170" s="171"/>
      <c r="N170" s="171"/>
      <c r="O170" s="23"/>
      <c r="P170" s="190"/>
      <c r="Q170" s="51"/>
      <c r="R170" s="11"/>
      <c r="T170" s="51"/>
      <c r="U170" s="52"/>
      <c r="V170" s="23"/>
      <c r="W170" s="53"/>
      <c r="X170" s="23"/>
      <c r="Y170" s="51"/>
      <c r="Z170" s="52"/>
      <c r="AA170" s="23"/>
      <c r="AB170" s="51"/>
      <c r="AD170" s="54"/>
      <c r="AE170" s="18"/>
      <c r="AF170" s="11"/>
      <c r="AG170" s="11"/>
    </row>
    <row r="171" spans="1:35" ht="19.5" customHeight="1" thickTop="1" thickBot="1" x14ac:dyDescent="0.3">
      <c r="A171" s="64"/>
      <c r="B171" s="64"/>
      <c r="C171" s="64"/>
      <c r="D171" s="64"/>
      <c r="E171" s="64"/>
      <c r="F171" s="141"/>
      <c r="G171" s="148"/>
      <c r="H171" s="158"/>
      <c r="I171" s="43"/>
      <c r="J171" s="23"/>
      <c r="K171" s="170"/>
      <c r="L171" s="170"/>
      <c r="M171" s="170"/>
      <c r="N171" s="179"/>
      <c r="O171" s="23"/>
      <c r="P171" s="190"/>
      <c r="Q171" s="51"/>
      <c r="R171" s="11"/>
      <c r="S171" s="11"/>
      <c r="T171" s="51"/>
      <c r="U171" s="54"/>
      <c r="V171" s="23"/>
      <c r="W171" s="55"/>
      <c r="X171" s="23"/>
      <c r="Y171" s="51"/>
      <c r="Z171" s="54"/>
      <c r="AA171" s="23"/>
      <c r="AC171" s="11"/>
      <c r="AD171" s="23"/>
      <c r="AE171" s="11"/>
    </row>
    <row r="172" spans="1:35" ht="19.5" customHeight="1" thickTop="1" x14ac:dyDescent="0.25">
      <c r="A172" s="64"/>
      <c r="B172" s="64"/>
      <c r="C172" s="64"/>
      <c r="D172" s="64"/>
      <c r="E172" s="64"/>
      <c r="F172" s="64"/>
      <c r="G172" s="64"/>
      <c r="H172" s="160"/>
      <c r="I172" s="56"/>
      <c r="J172" s="23"/>
      <c r="K172" s="170"/>
      <c r="L172" s="170"/>
      <c r="M172" s="170"/>
      <c r="N172" s="179"/>
      <c r="O172" s="23"/>
      <c r="P172" s="190"/>
      <c r="R172" s="11"/>
      <c r="U172" s="23"/>
      <c r="V172" s="23"/>
      <c r="W172" s="1"/>
      <c r="X172" s="23"/>
      <c r="Z172" s="23"/>
      <c r="AA172" s="23"/>
      <c r="AB172" s="57"/>
      <c r="AD172" s="52"/>
      <c r="AE172" s="11"/>
    </row>
    <row r="173" spans="1:35" x14ac:dyDescent="0.25">
      <c r="A173" s="64"/>
      <c r="B173" s="64"/>
      <c r="C173" s="64"/>
      <c r="D173" s="64"/>
      <c r="E173" s="64"/>
      <c r="F173" s="64"/>
      <c r="G173" s="64"/>
      <c r="H173" s="160"/>
      <c r="I173" s="56"/>
      <c r="J173" s="23"/>
      <c r="K173" s="178"/>
      <c r="L173" s="178"/>
      <c r="M173" s="178"/>
      <c r="N173" s="179"/>
      <c r="O173" s="23"/>
      <c r="P173" s="190"/>
      <c r="Q173" s="57"/>
      <c r="T173" s="57"/>
      <c r="U173" s="23"/>
      <c r="V173" s="23"/>
      <c r="W173" s="31"/>
      <c r="X173" s="23"/>
      <c r="Y173" s="57"/>
      <c r="Z173" s="52"/>
      <c r="AA173" s="23"/>
      <c r="AB173" s="42"/>
      <c r="AD173" s="56"/>
    </row>
    <row r="174" spans="1:35" ht="18" customHeight="1" thickBot="1" x14ac:dyDescent="0.3">
      <c r="A174" s="64"/>
      <c r="B174" s="64"/>
      <c r="C174" s="64"/>
      <c r="D174" s="64"/>
      <c r="E174" s="64"/>
      <c r="F174" s="156"/>
      <c r="G174" s="64"/>
      <c r="H174" s="160"/>
      <c r="I174" s="56"/>
      <c r="J174" s="23"/>
      <c r="K174" s="171"/>
      <c r="L174" s="171"/>
      <c r="M174" s="171"/>
      <c r="N174" s="179"/>
      <c r="O174" s="23"/>
      <c r="P174" s="190"/>
      <c r="Q174" s="42"/>
      <c r="R174" s="185"/>
      <c r="T174" s="42"/>
      <c r="U174" s="23"/>
      <c r="V174" s="23"/>
      <c r="W174" s="23"/>
      <c r="X174" s="23"/>
      <c r="Y174" s="42"/>
      <c r="Z174" s="56"/>
      <c r="AA174" s="23"/>
      <c r="AB174" s="58"/>
      <c r="AD174" s="56"/>
      <c r="AF174" s="11"/>
    </row>
    <row r="175" spans="1:35" ht="18" customHeight="1" x14ac:dyDescent="0.25">
      <c r="A175" s="64"/>
      <c r="B175" s="64"/>
      <c r="C175" s="64"/>
      <c r="D175" s="64"/>
      <c r="E175" s="64"/>
      <c r="F175" s="148" t="s">
        <v>124</v>
      </c>
      <c r="G175" s="64"/>
      <c r="H175" s="160"/>
      <c r="I175" s="56"/>
      <c r="J175" s="23"/>
      <c r="K175" s="171"/>
      <c r="L175" s="171"/>
      <c r="M175" s="171"/>
      <c r="N175" s="178"/>
      <c r="O175" s="23"/>
      <c r="P175" s="190"/>
      <c r="Q175" s="42"/>
      <c r="T175" s="42"/>
      <c r="U175" s="23"/>
      <c r="V175" s="23"/>
      <c r="W175" s="23"/>
      <c r="X175" s="23"/>
      <c r="Y175" s="42"/>
      <c r="Z175" s="56"/>
      <c r="AA175" s="23"/>
      <c r="AB175" s="58"/>
      <c r="AD175" s="56"/>
      <c r="AF175" s="11"/>
    </row>
    <row r="176" spans="1:35" ht="15" customHeight="1" x14ac:dyDescent="0.25">
      <c r="A176" s="64"/>
      <c r="B176" s="64"/>
      <c r="C176" s="64"/>
      <c r="D176" s="64"/>
      <c r="E176" s="64"/>
      <c r="F176" s="148" t="s">
        <v>125</v>
      </c>
      <c r="G176" s="64"/>
      <c r="H176" s="160"/>
      <c r="I176" s="23"/>
      <c r="J176" s="23"/>
      <c r="K176" s="171"/>
      <c r="L176" s="171"/>
      <c r="M176" s="171"/>
      <c r="N176" s="178"/>
      <c r="O176" s="23"/>
      <c r="P176" s="190"/>
      <c r="Q176" s="58"/>
      <c r="R176" s="11"/>
      <c r="T176" s="58"/>
      <c r="U176" s="23"/>
      <c r="V176" s="23"/>
      <c r="W176" s="23"/>
      <c r="X176" s="23"/>
      <c r="Y176" s="58"/>
      <c r="Z176" s="56"/>
      <c r="AA176" s="23"/>
      <c r="AB176" s="45"/>
      <c r="AD176" s="56"/>
      <c r="AF176" s="11"/>
      <c r="AH176" s="23"/>
    </row>
    <row r="177" spans="1:35" ht="15" customHeight="1" x14ac:dyDescent="0.25">
      <c r="A177" s="64"/>
      <c r="B177" s="64"/>
      <c r="C177" s="64"/>
      <c r="D177" s="64"/>
      <c r="E177" s="64"/>
      <c r="F177" s="148"/>
      <c r="G177" s="64"/>
      <c r="H177" s="160"/>
      <c r="I177" s="23"/>
      <c r="J177" s="23"/>
      <c r="K177" s="23"/>
      <c r="L177" s="23"/>
      <c r="M177" s="23"/>
      <c r="N177" s="178"/>
      <c r="O177" s="23"/>
      <c r="P177" s="190"/>
      <c r="Q177" s="45"/>
      <c r="T177" s="45"/>
      <c r="U177" s="23"/>
      <c r="V177" s="23"/>
      <c r="W177" s="23"/>
      <c r="X177" s="23"/>
      <c r="Y177" s="45"/>
      <c r="Z177" s="56"/>
      <c r="AA177" s="23"/>
      <c r="AB177" s="45"/>
      <c r="AC177" s="11"/>
      <c r="AD177" s="56"/>
      <c r="AF177" s="11"/>
      <c r="AH177" s="23"/>
    </row>
    <row r="178" spans="1:35" ht="15" customHeight="1" x14ac:dyDescent="0.25">
      <c r="A178" s="64"/>
      <c r="B178" s="64"/>
      <c r="C178" s="64"/>
      <c r="D178" s="64"/>
      <c r="E178" s="64"/>
      <c r="F178" s="64"/>
      <c r="G178" s="64"/>
      <c r="H178" s="65"/>
      <c r="I178" s="23"/>
      <c r="J178" s="23"/>
      <c r="K178" s="23"/>
      <c r="L178" s="23"/>
      <c r="M178" s="23"/>
      <c r="N178" s="178"/>
      <c r="O178" s="23"/>
      <c r="P178" s="190"/>
      <c r="Q178" s="45"/>
      <c r="R178" s="11"/>
      <c r="T178" s="45"/>
      <c r="U178" s="23"/>
      <c r="V178" s="23"/>
      <c r="W178" s="23"/>
      <c r="X178" s="23"/>
      <c r="Y178" s="45"/>
      <c r="Z178" s="56"/>
      <c r="AA178" s="23"/>
      <c r="AB178" s="45"/>
      <c r="AD178" s="56"/>
      <c r="AH178" s="23"/>
    </row>
    <row r="179" spans="1:35" ht="15" customHeight="1" x14ac:dyDescent="0.25">
      <c r="A179" s="64"/>
      <c r="B179" s="64"/>
      <c r="C179" s="64"/>
      <c r="D179" s="64"/>
      <c r="E179" s="64"/>
      <c r="F179" s="64"/>
      <c r="G179" s="64"/>
      <c r="H179" s="65"/>
      <c r="I179" s="23"/>
      <c r="J179" s="23"/>
      <c r="K179" s="23"/>
      <c r="L179" s="23"/>
      <c r="M179" s="23"/>
      <c r="N179" s="178"/>
      <c r="O179" s="23"/>
      <c r="P179" s="190"/>
      <c r="Q179" s="45"/>
      <c r="R179" s="11"/>
      <c r="T179" s="45"/>
      <c r="U179" s="23"/>
      <c r="V179" s="23"/>
      <c r="W179" s="23"/>
      <c r="X179" s="23"/>
      <c r="Y179" s="45"/>
      <c r="Z179" s="56"/>
      <c r="AA179" s="23"/>
      <c r="AB179" s="45"/>
      <c r="AD179" s="56"/>
      <c r="AH179" s="23"/>
    </row>
    <row r="180" spans="1:35" ht="29.25" customHeight="1" x14ac:dyDescent="0.25">
      <c r="A180" s="64"/>
      <c r="B180" s="64"/>
      <c r="C180" s="64"/>
      <c r="D180" s="64"/>
      <c r="E180" s="64"/>
      <c r="F180" s="64"/>
      <c r="G180" s="64"/>
      <c r="H180" s="65"/>
      <c r="I180" s="23"/>
      <c r="J180" s="23"/>
      <c r="K180" s="23"/>
      <c r="L180" s="23"/>
      <c r="M180" s="23"/>
      <c r="N180" s="178"/>
      <c r="O180" s="23"/>
      <c r="P180" s="190"/>
      <c r="Q180" s="45"/>
      <c r="R180" s="11"/>
      <c r="T180" s="45"/>
      <c r="U180" s="23"/>
      <c r="V180" s="23"/>
      <c r="W180" s="23"/>
      <c r="X180" s="23"/>
      <c r="Y180" s="45"/>
      <c r="Z180" s="56"/>
      <c r="AA180" s="23"/>
      <c r="AB180" s="45"/>
      <c r="AD180" s="56"/>
      <c r="AH180" s="23"/>
    </row>
    <row r="181" spans="1:35" ht="15" customHeight="1" x14ac:dyDescent="0.25">
      <c r="A181" s="64"/>
      <c r="B181" s="64"/>
      <c r="C181" s="64"/>
      <c r="D181" s="64"/>
      <c r="E181" s="64"/>
      <c r="G181" s="64"/>
      <c r="H181" s="65"/>
      <c r="I181" s="23"/>
      <c r="J181" s="23"/>
      <c r="K181" s="23"/>
      <c r="L181" s="23"/>
      <c r="M181" s="23"/>
      <c r="N181" s="171"/>
      <c r="O181" s="23"/>
      <c r="P181" s="190"/>
      <c r="Q181" s="45"/>
      <c r="R181" s="11"/>
      <c r="T181" s="45"/>
      <c r="U181" s="23"/>
      <c r="V181" s="23"/>
      <c r="W181" s="23"/>
      <c r="X181" s="23"/>
      <c r="Y181" s="45"/>
      <c r="Z181" s="56"/>
      <c r="AA181" s="23"/>
      <c r="AB181" s="45"/>
      <c r="AD181" s="56"/>
      <c r="AH181" s="23"/>
    </row>
    <row r="182" spans="1:35" x14ac:dyDescent="0.25">
      <c r="A182" s="64"/>
      <c r="B182" s="64"/>
      <c r="C182" s="64"/>
      <c r="D182" s="64"/>
      <c r="E182" s="64"/>
      <c r="G182" s="64"/>
      <c r="H182" s="65"/>
      <c r="I182" s="23"/>
      <c r="J182" s="23"/>
      <c r="K182" s="23"/>
      <c r="L182" s="23"/>
      <c r="M182" s="23"/>
      <c r="N182" s="172"/>
      <c r="O182" s="23"/>
      <c r="P182" s="190"/>
      <c r="Q182" s="45"/>
      <c r="R182" s="11"/>
      <c r="T182" s="45"/>
      <c r="U182" s="23"/>
      <c r="V182" s="23"/>
      <c r="W182" s="23"/>
      <c r="X182" s="23"/>
      <c r="Y182" s="45"/>
      <c r="Z182" s="56"/>
      <c r="AA182" s="23"/>
      <c r="AB182" s="45"/>
      <c r="AD182" s="56"/>
      <c r="AH182" s="23"/>
    </row>
    <row r="183" spans="1:35" ht="18" x14ac:dyDescent="0.25">
      <c r="A183" s="64"/>
      <c r="B183" s="64"/>
      <c r="C183" s="64"/>
      <c r="D183" s="64"/>
      <c r="E183" s="64"/>
      <c r="F183" s="148"/>
      <c r="G183" s="64"/>
      <c r="H183" s="65"/>
      <c r="I183" s="23"/>
      <c r="J183" s="23"/>
      <c r="K183" s="23"/>
      <c r="L183" s="23"/>
      <c r="M183" s="23"/>
      <c r="N183" s="185"/>
      <c r="O183" s="23"/>
      <c r="P183" s="190"/>
      <c r="Q183" s="45"/>
      <c r="T183" s="45"/>
      <c r="U183" s="23"/>
      <c r="V183" s="23"/>
      <c r="W183" s="23"/>
      <c r="X183" s="23"/>
      <c r="Y183" s="45"/>
      <c r="Z183" s="56"/>
      <c r="AA183" s="23"/>
      <c r="AB183" s="1"/>
      <c r="AD183" s="56"/>
      <c r="AH183" s="23"/>
    </row>
    <row r="184" spans="1:35" ht="15" customHeight="1" x14ac:dyDescent="0.25">
      <c r="A184" s="64"/>
      <c r="B184" s="64"/>
      <c r="C184" s="64"/>
      <c r="D184" s="64"/>
      <c r="E184" s="64"/>
      <c r="F184" s="64"/>
      <c r="G184" s="64"/>
      <c r="H184" s="65"/>
      <c r="I184" s="23"/>
      <c r="J184" s="23"/>
      <c r="K184" s="23"/>
      <c r="L184" s="23"/>
      <c r="M184" s="23"/>
      <c r="N184" s="235"/>
      <c r="O184" s="23"/>
      <c r="P184" s="190"/>
      <c r="Q184" s="31"/>
      <c r="T184" s="11"/>
      <c r="U184" s="23"/>
      <c r="V184" s="23"/>
      <c r="W184" s="23"/>
      <c r="X184" s="23"/>
      <c r="Y184" s="11"/>
      <c r="Z184" s="56"/>
      <c r="AA184" s="23"/>
      <c r="AB184" s="58"/>
      <c r="AD184" s="56"/>
      <c r="AF184" s="11"/>
      <c r="AH184" s="11"/>
      <c r="AI184" s="11"/>
    </row>
    <row r="185" spans="1:35" ht="15" customHeight="1" x14ac:dyDescent="0.25">
      <c r="A185" s="64"/>
      <c r="B185" s="64"/>
      <c r="C185" s="64"/>
      <c r="D185" s="64"/>
      <c r="E185" s="64"/>
      <c r="F185" s="64"/>
      <c r="G185" s="64"/>
      <c r="H185" s="65"/>
      <c r="I185" s="23"/>
      <c r="J185" s="23"/>
      <c r="K185" s="23"/>
      <c r="L185" s="23"/>
      <c r="M185" s="23"/>
      <c r="N185" s="172"/>
      <c r="O185" s="23"/>
      <c r="P185" s="192"/>
      <c r="Q185" s="58"/>
      <c r="R185" s="11"/>
      <c r="T185" s="58"/>
      <c r="U185" s="23"/>
      <c r="V185" s="23"/>
      <c r="W185" s="23"/>
      <c r="X185" s="23"/>
      <c r="Y185" s="58"/>
      <c r="Z185" s="56"/>
      <c r="AA185" s="23"/>
      <c r="AB185" s="58"/>
      <c r="AD185" s="56"/>
      <c r="AF185" s="23"/>
    </row>
    <row r="186" spans="1:35" ht="15.75" customHeight="1" x14ac:dyDescent="0.25">
      <c r="A186" s="64"/>
      <c r="B186" s="64"/>
      <c r="C186" s="64"/>
      <c r="D186" s="64"/>
      <c r="E186" s="64"/>
      <c r="F186" s="64"/>
      <c r="G186" s="64"/>
      <c r="H186" s="65"/>
      <c r="I186" s="23"/>
      <c r="J186" s="23"/>
      <c r="K186" s="23"/>
      <c r="L186" s="23"/>
      <c r="M186" s="23"/>
      <c r="N186" s="235"/>
      <c r="O186" s="23"/>
      <c r="P186" s="192"/>
      <c r="Q186" s="58"/>
      <c r="R186" s="11"/>
      <c r="U186" s="23"/>
      <c r="V186" s="23"/>
      <c r="W186" s="23"/>
      <c r="X186" s="23"/>
      <c r="Y186" s="58"/>
      <c r="Z186" s="56"/>
      <c r="AA186" s="23"/>
      <c r="AD186" s="56"/>
      <c r="AH186" s="11"/>
    </row>
    <row r="187" spans="1:35" x14ac:dyDescent="0.25">
      <c r="H187" s="30"/>
      <c r="I187" s="23"/>
      <c r="J187" s="23"/>
      <c r="K187" s="23"/>
      <c r="L187" s="23"/>
      <c r="M187" s="23"/>
      <c r="N187" s="46"/>
      <c r="O187" s="23"/>
      <c r="P187" s="193"/>
      <c r="Q187" s="18"/>
      <c r="R187" s="11"/>
      <c r="T187" s="11"/>
      <c r="U187" s="23"/>
      <c r="V187" s="23"/>
      <c r="W187" s="23"/>
      <c r="X187" s="23"/>
      <c r="Z187" s="56"/>
      <c r="AA187" s="23"/>
      <c r="AB187" s="51"/>
      <c r="AD187" s="59"/>
    </row>
    <row r="188" spans="1:35" x14ac:dyDescent="0.25">
      <c r="I188" s="23"/>
      <c r="J188" s="23"/>
      <c r="K188" s="23"/>
      <c r="L188" s="23"/>
      <c r="M188" s="23"/>
      <c r="N188" s="23"/>
      <c r="O188" s="23"/>
      <c r="P188" s="193"/>
      <c r="Q188" s="51"/>
      <c r="T188" s="51"/>
      <c r="U188" s="59"/>
      <c r="V188" s="23"/>
      <c r="W188" s="59"/>
      <c r="X188" s="23"/>
      <c r="Y188" s="51"/>
      <c r="Z188" s="59"/>
      <c r="AA188" s="23"/>
      <c r="AB188" s="51"/>
      <c r="AD188" s="60"/>
    </row>
    <row r="189" spans="1:35" ht="15.75" thickBot="1" x14ac:dyDescent="0.3">
      <c r="I189" s="23"/>
      <c r="J189" s="23"/>
      <c r="K189" s="23"/>
      <c r="L189" s="23"/>
      <c r="M189" s="23"/>
      <c r="N189" s="23"/>
      <c r="O189" s="23"/>
      <c r="P189" s="193"/>
      <c r="Q189" s="51"/>
      <c r="S189" s="11"/>
      <c r="T189" s="51"/>
      <c r="U189" s="60"/>
      <c r="V189" s="23"/>
      <c r="W189" s="60"/>
      <c r="X189" s="23"/>
      <c r="Y189" s="51"/>
      <c r="Z189" s="60"/>
      <c r="AA189" s="23"/>
      <c r="AB189" s="58"/>
      <c r="AD189" s="61"/>
      <c r="AF189" s="11"/>
    </row>
    <row r="190" spans="1:35" ht="15.75" thickBot="1" x14ac:dyDescent="0.3">
      <c r="I190" s="23"/>
      <c r="J190" s="23"/>
      <c r="K190" s="23"/>
      <c r="L190" s="23"/>
      <c r="M190" s="23"/>
      <c r="N190" s="23"/>
      <c r="O190" s="23"/>
      <c r="P190" s="193"/>
      <c r="Q190" s="58"/>
      <c r="R190" s="11"/>
      <c r="T190" s="58"/>
      <c r="U190" s="61"/>
      <c r="V190" s="23"/>
      <c r="W190" s="61"/>
      <c r="X190" s="23"/>
      <c r="Y190" s="58"/>
      <c r="Z190" s="61"/>
      <c r="AA190" s="23"/>
      <c r="AB190" s="62"/>
      <c r="AD190" s="63"/>
      <c r="AE190" s="23"/>
      <c r="AF190" s="11"/>
    </row>
    <row r="191" spans="1:35" ht="15.75" thickBot="1" x14ac:dyDescent="0.3">
      <c r="I191" s="23"/>
      <c r="J191" s="23"/>
      <c r="K191" s="23"/>
      <c r="L191" s="23"/>
      <c r="M191" s="23"/>
      <c r="N191" s="23"/>
      <c r="O191" s="23"/>
      <c r="P191" s="193"/>
      <c r="Q191" s="62"/>
      <c r="S191" s="18"/>
      <c r="T191" s="62"/>
      <c r="U191" s="63"/>
      <c r="V191" s="23"/>
      <c r="W191" s="63"/>
      <c r="X191" s="23"/>
      <c r="Y191" s="62"/>
      <c r="Z191" s="63"/>
      <c r="AA191" s="23"/>
      <c r="AB191" s="11"/>
      <c r="AD191" s="23"/>
    </row>
    <row r="192" spans="1:35" ht="15.75" thickTop="1" x14ac:dyDescent="0.25">
      <c r="I192" s="23"/>
      <c r="J192" s="23"/>
      <c r="K192" s="23"/>
      <c r="L192" s="23"/>
      <c r="M192" s="23"/>
      <c r="N192" s="23"/>
      <c r="O192" s="23"/>
      <c r="P192" s="164"/>
      <c r="Q192" s="11"/>
      <c r="T192" s="11"/>
      <c r="U192" s="23"/>
      <c r="V192" s="23"/>
      <c r="W192" s="23"/>
      <c r="X192" s="23"/>
      <c r="Y192" s="11"/>
      <c r="Z192" s="23"/>
      <c r="AA192" s="23"/>
      <c r="AD192" s="23"/>
    </row>
    <row r="193" spans="9:27" x14ac:dyDescent="0.25">
      <c r="I193" s="23"/>
      <c r="J193" s="23"/>
      <c r="K193" s="23"/>
      <c r="L193" s="23"/>
      <c r="M193" s="23"/>
      <c r="N193" s="23"/>
      <c r="O193" s="23"/>
      <c r="P193" s="179"/>
      <c r="Q193" s="11"/>
      <c r="U193" s="23"/>
      <c r="V193" s="23"/>
      <c r="W193" s="23"/>
      <c r="X193" s="23"/>
      <c r="Z193" s="23"/>
      <c r="AA193" s="23"/>
    </row>
    <row r="194" spans="9:27" x14ac:dyDescent="0.25">
      <c r="I194" s="23"/>
      <c r="J194" s="23"/>
      <c r="K194" s="23"/>
      <c r="L194" s="23"/>
      <c r="M194" s="23"/>
      <c r="N194" s="23"/>
      <c r="O194" s="23"/>
      <c r="P194" s="164"/>
      <c r="R194" s="11"/>
      <c r="U194" s="23"/>
      <c r="V194" s="23"/>
      <c r="W194" s="23"/>
      <c r="X194" s="23"/>
      <c r="Z194" s="23"/>
      <c r="AA194" s="23"/>
    </row>
    <row r="195" spans="9:27" x14ac:dyDescent="0.25">
      <c r="I195" s="23"/>
      <c r="J195" s="23"/>
      <c r="K195" s="23"/>
      <c r="L195" s="23"/>
      <c r="M195" s="23"/>
      <c r="N195" s="23"/>
      <c r="O195" s="23"/>
      <c r="P195" s="164"/>
      <c r="R195" s="11"/>
      <c r="S195" s="18"/>
      <c r="T195" s="11"/>
      <c r="U195" s="23"/>
      <c r="V195" s="23"/>
      <c r="W195" s="23"/>
      <c r="X195" s="23"/>
      <c r="Z195" s="23"/>
      <c r="AA195" s="23"/>
    </row>
    <row r="196" spans="9:27" x14ac:dyDescent="0.25">
      <c r="I196" s="23"/>
      <c r="J196" s="23"/>
      <c r="K196" s="23"/>
      <c r="L196" s="23"/>
      <c r="M196" s="23"/>
      <c r="N196" s="23"/>
      <c r="O196" s="23"/>
      <c r="P196" s="164"/>
      <c r="Q196" s="23"/>
      <c r="R196" s="11"/>
      <c r="T196" s="18"/>
      <c r="U196" s="23"/>
      <c r="V196" s="23"/>
      <c r="W196" s="23"/>
      <c r="X196" s="23"/>
      <c r="Z196" s="23"/>
      <c r="AA196" s="23"/>
    </row>
    <row r="197" spans="9:27" x14ac:dyDescent="0.25">
      <c r="I197" s="23"/>
      <c r="J197" s="23"/>
      <c r="K197" s="23"/>
      <c r="L197" s="23"/>
      <c r="M197" s="23"/>
      <c r="N197" s="23"/>
      <c r="O197" s="23"/>
      <c r="P197" s="164"/>
      <c r="Q197" s="23"/>
      <c r="T197" s="18"/>
      <c r="U197" s="23"/>
      <c r="V197" s="23"/>
      <c r="W197" s="23"/>
      <c r="X197" s="23"/>
      <c r="Z197" s="23"/>
      <c r="AA197" s="23"/>
    </row>
    <row r="198" spans="9:27" x14ac:dyDescent="0.25">
      <c r="I198" s="23"/>
      <c r="J198" s="23"/>
      <c r="K198" s="23"/>
      <c r="L198" s="23"/>
      <c r="M198" s="23"/>
      <c r="N198" s="23"/>
      <c r="O198" s="23"/>
      <c r="P198" s="164"/>
      <c r="Q198" s="23"/>
      <c r="R198" s="11"/>
      <c r="S198" s="11"/>
      <c r="U198" s="23"/>
      <c r="V198" s="23"/>
      <c r="W198" s="23"/>
      <c r="X198" s="23"/>
      <c r="Z198" s="23"/>
      <c r="AA198" s="23"/>
    </row>
    <row r="199" spans="9:27" x14ac:dyDescent="0.25">
      <c r="I199" s="23"/>
      <c r="J199" s="23"/>
      <c r="K199" s="23"/>
      <c r="L199" s="23"/>
      <c r="M199" s="23"/>
      <c r="N199" s="23"/>
      <c r="O199" s="23"/>
      <c r="P199" s="163"/>
      <c r="Q199" s="23"/>
      <c r="R199" s="11"/>
      <c r="U199" s="23"/>
      <c r="V199" s="23"/>
      <c r="Z199" s="11"/>
      <c r="AA199" s="23"/>
    </row>
    <row r="200" spans="9:27" x14ac:dyDescent="0.25">
      <c r="I200" s="23"/>
      <c r="J200" s="23"/>
      <c r="K200" s="23"/>
      <c r="L200" s="23"/>
      <c r="M200" s="23"/>
      <c r="N200" s="23"/>
      <c r="O200" s="23"/>
      <c r="P200" s="163"/>
      <c r="Q200" s="23"/>
      <c r="S200" s="11"/>
      <c r="U200" s="23"/>
      <c r="V200" s="23"/>
      <c r="Z200" s="11"/>
      <c r="AA200" s="23"/>
    </row>
    <row r="201" spans="9:27" x14ac:dyDescent="0.25">
      <c r="I201" s="23"/>
      <c r="J201" s="23"/>
      <c r="K201" s="23"/>
      <c r="L201" s="23"/>
      <c r="M201" s="23"/>
      <c r="N201" s="23"/>
      <c r="O201" s="23"/>
      <c r="P201" s="163"/>
      <c r="Q201" s="23"/>
      <c r="T201" s="18"/>
      <c r="U201" s="23"/>
      <c r="V201" s="23"/>
      <c r="Z201" s="11"/>
    </row>
    <row r="202" spans="9:27" x14ac:dyDescent="0.25">
      <c r="I202" s="23"/>
      <c r="J202" s="23"/>
      <c r="K202" s="23"/>
      <c r="L202" s="23"/>
      <c r="M202" s="23"/>
      <c r="N202" s="23"/>
      <c r="O202" s="23"/>
      <c r="P202" s="163"/>
      <c r="Q202" s="23"/>
      <c r="U202" s="23"/>
      <c r="V202" s="23"/>
    </row>
    <row r="203" spans="9:27" x14ac:dyDescent="0.25">
      <c r="I203" s="23"/>
      <c r="J203" s="23"/>
      <c r="K203" s="23"/>
      <c r="L203" s="23"/>
      <c r="M203" s="23"/>
      <c r="N203" s="23"/>
      <c r="O203" s="23"/>
      <c r="P203" s="163"/>
      <c r="Q203" s="23"/>
      <c r="U203" s="23"/>
      <c r="V203" s="23"/>
    </row>
    <row r="204" spans="9:27" x14ac:dyDescent="0.25">
      <c r="I204" s="23"/>
      <c r="J204" s="23"/>
      <c r="K204" s="23"/>
      <c r="L204" s="23"/>
      <c r="M204" s="23"/>
      <c r="N204" s="23"/>
      <c r="O204" s="23"/>
      <c r="P204" s="163"/>
      <c r="Q204" s="23"/>
    </row>
    <row r="205" spans="9:27" x14ac:dyDescent="0.25">
      <c r="I205" s="23"/>
      <c r="J205" s="23"/>
      <c r="K205" s="23"/>
      <c r="L205" s="23"/>
      <c r="M205" s="23"/>
      <c r="N205" s="23"/>
      <c r="O205" s="23"/>
      <c r="P205" s="163"/>
      <c r="Q205" s="23"/>
      <c r="U205" s="11"/>
      <c r="W205" s="11"/>
    </row>
    <row r="206" spans="9:27" x14ac:dyDescent="0.25">
      <c r="I206" s="23"/>
      <c r="J206" s="23"/>
      <c r="K206" s="23"/>
      <c r="L206" s="23"/>
      <c r="M206" s="23"/>
      <c r="N206" s="23"/>
      <c r="O206" s="23"/>
      <c r="P206" s="163"/>
      <c r="Q206" s="23"/>
      <c r="S206" s="11"/>
    </row>
    <row r="207" spans="9:27" x14ac:dyDescent="0.25">
      <c r="I207" s="23"/>
      <c r="J207" s="23"/>
      <c r="K207" s="23"/>
      <c r="L207" s="23"/>
      <c r="M207" s="23"/>
      <c r="N207" s="23"/>
      <c r="O207" s="23"/>
      <c r="P207" s="163"/>
      <c r="Q207" s="23"/>
    </row>
    <row r="208" spans="9:27" x14ac:dyDescent="0.25">
      <c r="I208" s="23"/>
      <c r="J208" s="23"/>
      <c r="K208" s="23"/>
      <c r="L208" s="23"/>
      <c r="M208" s="23"/>
      <c r="N208" s="23"/>
      <c r="O208" s="23"/>
      <c r="P208" s="163"/>
      <c r="Q208" s="23"/>
    </row>
    <row r="209" spans="9:17" x14ac:dyDescent="0.25">
      <c r="I209" s="23"/>
      <c r="J209" s="23"/>
      <c r="K209" s="23"/>
      <c r="L209" s="23"/>
      <c r="M209" s="23"/>
      <c r="N209" s="23"/>
      <c r="O209" s="23"/>
      <c r="P209" s="163"/>
      <c r="Q209" s="23"/>
    </row>
    <row r="210" spans="9:17" x14ac:dyDescent="0.25">
      <c r="I210" s="23"/>
      <c r="J210" s="23"/>
      <c r="K210" s="23"/>
      <c r="L210" s="23"/>
      <c r="M210" s="23"/>
      <c r="N210" s="23"/>
      <c r="O210" s="23"/>
      <c r="P210" s="163"/>
      <c r="Q210" s="23"/>
    </row>
    <row r="211" spans="9:17" x14ac:dyDescent="0.25">
      <c r="I211" s="23"/>
      <c r="J211" s="23"/>
      <c r="K211" s="23"/>
      <c r="L211" s="23"/>
      <c r="M211" s="23"/>
      <c r="N211" s="23"/>
      <c r="O211" s="23"/>
      <c r="P211" s="163"/>
      <c r="Q211" s="23"/>
    </row>
    <row r="212" spans="9:17" x14ac:dyDescent="0.25">
      <c r="I212" s="23"/>
      <c r="J212" s="23"/>
      <c r="K212" s="23"/>
      <c r="L212" s="23"/>
      <c r="M212" s="23"/>
      <c r="N212" s="23"/>
      <c r="O212" s="23"/>
      <c r="P212" s="163"/>
      <c r="Q212" s="23"/>
    </row>
    <row r="213" spans="9:17" x14ac:dyDescent="0.25">
      <c r="I213" s="23"/>
      <c r="J213" s="23"/>
      <c r="K213" s="23"/>
      <c r="L213" s="23"/>
      <c r="M213" s="23"/>
      <c r="N213" s="23"/>
      <c r="O213" s="23"/>
      <c r="P213" s="163"/>
      <c r="Q213" s="23"/>
    </row>
    <row r="214" spans="9:17" x14ac:dyDescent="0.25">
      <c r="I214" s="23"/>
      <c r="J214" s="23"/>
      <c r="K214" s="23"/>
      <c r="L214" s="23"/>
      <c r="M214" s="23"/>
      <c r="N214" s="23"/>
      <c r="O214" s="23"/>
      <c r="P214" s="163"/>
      <c r="Q214" s="23"/>
    </row>
    <row r="215" spans="9:17" x14ac:dyDescent="0.25">
      <c r="I215" s="23"/>
      <c r="J215" s="23"/>
      <c r="K215" s="23"/>
      <c r="L215" s="23"/>
      <c r="M215" s="23"/>
      <c r="N215" s="23"/>
      <c r="O215" s="23"/>
      <c r="P215" s="163"/>
      <c r="Q215" s="23"/>
    </row>
    <row r="216" spans="9:17" x14ac:dyDescent="0.25">
      <c r="I216" s="23"/>
      <c r="J216" s="23"/>
      <c r="K216" s="23"/>
      <c r="L216" s="23"/>
      <c r="M216" s="23"/>
      <c r="N216" s="23"/>
      <c r="O216" s="23"/>
      <c r="P216" s="163"/>
      <c r="Q216" s="23"/>
    </row>
    <row r="217" spans="9:17" x14ac:dyDescent="0.25">
      <c r="I217" s="23"/>
      <c r="J217" s="23"/>
      <c r="K217" s="23"/>
      <c r="L217" s="23"/>
      <c r="M217" s="23"/>
      <c r="N217" s="23"/>
      <c r="O217" s="23"/>
      <c r="P217" s="163"/>
      <c r="Q217" s="23"/>
    </row>
    <row r="218" spans="9:17" x14ac:dyDescent="0.25">
      <c r="I218" s="23"/>
      <c r="J218" s="23"/>
      <c r="K218" s="23"/>
      <c r="L218" s="23"/>
      <c r="M218" s="23"/>
      <c r="N218" s="23"/>
      <c r="O218" s="23"/>
      <c r="P218" s="163"/>
      <c r="Q218" s="23"/>
    </row>
    <row r="219" spans="9:17" x14ac:dyDescent="0.25">
      <c r="I219" s="23"/>
      <c r="J219" s="23"/>
      <c r="K219" s="23"/>
      <c r="L219" s="23"/>
      <c r="M219" s="23"/>
      <c r="N219" s="23"/>
      <c r="O219" s="23"/>
      <c r="P219" s="163"/>
      <c r="Q219" s="23"/>
    </row>
    <row r="220" spans="9:17" x14ac:dyDescent="0.25">
      <c r="I220" s="23"/>
      <c r="J220" s="23"/>
      <c r="K220" s="23"/>
      <c r="L220" s="23"/>
      <c r="M220" s="23"/>
      <c r="N220" s="23"/>
      <c r="O220" s="23"/>
      <c r="P220" s="163"/>
      <c r="Q220" s="23"/>
    </row>
    <row r="221" spans="9:17" x14ac:dyDescent="0.25">
      <c r="I221" s="23"/>
      <c r="J221" s="23"/>
      <c r="K221" s="23"/>
      <c r="L221" s="23"/>
      <c r="M221" s="23"/>
      <c r="N221" s="23"/>
      <c r="O221" s="23"/>
      <c r="P221" s="163"/>
      <c r="Q221" s="23"/>
    </row>
    <row r="222" spans="9:17" x14ac:dyDescent="0.25">
      <c r="I222" s="23"/>
      <c r="J222" s="23"/>
      <c r="K222" s="23"/>
      <c r="L222" s="23"/>
      <c r="M222" s="23"/>
      <c r="N222" s="23"/>
      <c r="O222" s="23"/>
      <c r="P222" s="163"/>
      <c r="Q222" s="23"/>
    </row>
    <row r="223" spans="9:17" x14ac:dyDescent="0.25">
      <c r="I223" s="23"/>
      <c r="J223" s="23"/>
      <c r="K223" s="23"/>
      <c r="L223" s="23"/>
      <c r="M223" s="23"/>
      <c r="N223" s="23"/>
      <c r="O223" s="23"/>
      <c r="P223" s="163"/>
      <c r="Q223" s="23"/>
    </row>
    <row r="224" spans="9:17" x14ac:dyDescent="0.25">
      <c r="I224" s="23"/>
      <c r="J224" s="23"/>
      <c r="K224" s="23"/>
      <c r="L224" s="23"/>
      <c r="M224" s="23"/>
      <c r="N224" s="23"/>
      <c r="O224" s="23"/>
      <c r="P224" s="163"/>
      <c r="Q224" s="23"/>
    </row>
    <row r="225" spans="9:17" x14ac:dyDescent="0.25">
      <c r="I225" s="23"/>
      <c r="J225" s="23"/>
      <c r="K225" s="23"/>
      <c r="L225" s="23"/>
      <c r="M225" s="23"/>
      <c r="N225" s="23"/>
      <c r="O225" s="23"/>
      <c r="P225" s="163"/>
      <c r="Q225" s="23"/>
    </row>
    <row r="226" spans="9:17" x14ac:dyDescent="0.25">
      <c r="I226" s="23"/>
      <c r="J226" s="23"/>
      <c r="K226" s="23"/>
      <c r="L226" s="23"/>
      <c r="M226" s="23"/>
      <c r="N226" s="23"/>
      <c r="O226" s="23"/>
      <c r="P226" s="163"/>
      <c r="Q226" s="23"/>
    </row>
    <row r="227" spans="9:17" x14ac:dyDescent="0.25">
      <c r="I227" s="23"/>
      <c r="J227" s="23"/>
      <c r="K227" s="23"/>
      <c r="L227" s="23"/>
      <c r="M227" s="23"/>
      <c r="N227" s="23"/>
      <c r="O227" s="23"/>
      <c r="P227" s="163"/>
      <c r="Q227" s="23"/>
    </row>
    <row r="228" spans="9:17" x14ac:dyDescent="0.25">
      <c r="I228" s="23"/>
      <c r="J228" s="23"/>
      <c r="K228" s="23"/>
      <c r="L228" s="23"/>
      <c r="M228" s="23"/>
      <c r="N228" s="23"/>
      <c r="O228" s="23"/>
      <c r="P228" s="163"/>
      <c r="Q228" s="23"/>
    </row>
    <row r="229" spans="9:17" x14ac:dyDescent="0.25">
      <c r="I229" s="23"/>
      <c r="J229" s="23"/>
      <c r="K229" s="23"/>
      <c r="L229" s="23"/>
      <c r="M229" s="23"/>
      <c r="N229" s="23"/>
      <c r="O229" s="23"/>
      <c r="P229" s="163"/>
      <c r="Q229" s="23"/>
    </row>
    <row r="230" spans="9:17" x14ac:dyDescent="0.25">
      <c r="I230" s="23"/>
      <c r="J230" s="23"/>
      <c r="K230" s="23"/>
      <c r="L230" s="23"/>
      <c r="M230" s="23"/>
      <c r="N230" s="23"/>
      <c r="O230" s="23"/>
      <c r="P230" s="40"/>
    </row>
    <row r="231" spans="9:17" x14ac:dyDescent="0.25">
      <c r="I231" s="23"/>
      <c r="J231" s="23"/>
      <c r="K231" s="23"/>
      <c r="L231" s="23"/>
      <c r="M231" s="23"/>
      <c r="N231" s="23"/>
      <c r="O231" s="23"/>
      <c r="P231" s="40"/>
    </row>
    <row r="232" spans="9:17" x14ac:dyDescent="0.25">
      <c r="I232" s="23"/>
      <c r="J232" s="23"/>
      <c r="K232" s="23"/>
      <c r="L232" s="23"/>
      <c r="M232" s="23"/>
      <c r="N232" s="23"/>
      <c r="O232" s="23"/>
      <c r="P232" s="40"/>
    </row>
    <row r="233" spans="9:17" x14ac:dyDescent="0.25">
      <c r="I233" s="23"/>
      <c r="J233" s="23"/>
      <c r="K233" s="23"/>
      <c r="L233" s="23"/>
      <c r="M233" s="23"/>
      <c r="N233" s="23"/>
      <c r="O233" s="23"/>
      <c r="P233" s="40"/>
    </row>
    <row r="234" spans="9:17" x14ac:dyDescent="0.25">
      <c r="I234" s="23"/>
      <c r="J234" s="23"/>
      <c r="K234" s="23"/>
      <c r="L234" s="23"/>
      <c r="M234" s="23"/>
      <c r="N234" s="23"/>
      <c r="O234" s="23"/>
      <c r="P234" s="40"/>
    </row>
    <row r="235" spans="9:17" x14ac:dyDescent="0.25">
      <c r="I235" s="23"/>
      <c r="J235" s="23"/>
      <c r="K235" s="23"/>
      <c r="L235" s="23"/>
      <c r="M235" s="23"/>
      <c r="N235" s="23"/>
      <c r="O235" s="23"/>
      <c r="P235" s="40"/>
    </row>
    <row r="236" spans="9:17" x14ac:dyDescent="0.25">
      <c r="I236" s="23"/>
      <c r="J236" s="23"/>
      <c r="K236" s="23"/>
      <c r="L236" s="23"/>
      <c r="M236" s="23"/>
      <c r="N236" s="23"/>
      <c r="O236" s="23"/>
      <c r="P236" s="40"/>
    </row>
    <row r="237" spans="9:17" x14ac:dyDescent="0.25">
      <c r="I237" s="23"/>
      <c r="J237" s="23"/>
      <c r="K237" s="23"/>
      <c r="L237" s="23"/>
      <c r="M237" s="23"/>
      <c r="N237" s="23"/>
      <c r="O237" s="23"/>
      <c r="P237" s="40"/>
    </row>
    <row r="238" spans="9:17" x14ac:dyDescent="0.25">
      <c r="I238" s="23"/>
      <c r="J238" s="23"/>
      <c r="K238" s="23"/>
      <c r="L238" s="23"/>
      <c r="M238" s="23"/>
      <c r="N238" s="23"/>
      <c r="O238" s="23"/>
      <c r="P238" s="40"/>
    </row>
    <row r="239" spans="9:17" x14ac:dyDescent="0.25">
      <c r="I239" s="23"/>
      <c r="J239" s="23"/>
      <c r="K239" s="23"/>
      <c r="L239" s="23"/>
      <c r="M239" s="23"/>
      <c r="N239" s="23"/>
      <c r="O239" s="23"/>
      <c r="P239" s="40"/>
    </row>
    <row r="240" spans="9:17" x14ac:dyDescent="0.25">
      <c r="I240" s="23"/>
      <c r="J240" s="23"/>
      <c r="K240" s="23"/>
      <c r="L240" s="23"/>
      <c r="M240" s="23"/>
      <c r="N240" s="23"/>
      <c r="O240" s="23"/>
      <c r="P240" s="40"/>
    </row>
    <row r="241" spans="9:16" x14ac:dyDescent="0.25">
      <c r="I241" s="23"/>
      <c r="J241" s="23"/>
      <c r="K241" s="23"/>
      <c r="L241" s="23"/>
      <c r="M241" s="23"/>
      <c r="N241" s="23"/>
      <c r="O241" s="23"/>
      <c r="P241" s="40"/>
    </row>
    <row r="242" spans="9:16" x14ac:dyDescent="0.25">
      <c r="I242" s="23"/>
      <c r="J242" s="23"/>
      <c r="K242" s="23"/>
      <c r="L242" s="23"/>
      <c r="M242" s="23"/>
      <c r="N242" s="23"/>
      <c r="O242" s="23"/>
      <c r="P242" s="40"/>
    </row>
    <row r="243" spans="9:16" x14ac:dyDescent="0.25">
      <c r="I243" s="23"/>
      <c r="J243" s="23"/>
      <c r="K243" s="23"/>
      <c r="L243" s="23"/>
      <c r="M243" s="23"/>
      <c r="N243" s="23"/>
      <c r="O243" s="23"/>
      <c r="P243" s="40"/>
    </row>
    <row r="244" spans="9:16" x14ac:dyDescent="0.25">
      <c r="I244" s="23"/>
      <c r="J244" s="23"/>
      <c r="K244" s="23"/>
      <c r="L244" s="23"/>
      <c r="M244" s="23"/>
      <c r="N244" s="23"/>
      <c r="O244" s="23"/>
      <c r="P244" s="40"/>
    </row>
    <row r="245" spans="9:16" x14ac:dyDescent="0.25">
      <c r="I245" s="23"/>
      <c r="J245" s="23"/>
      <c r="K245" s="23"/>
      <c r="L245" s="23"/>
      <c r="M245" s="23"/>
      <c r="N245" s="23"/>
      <c r="O245" s="23"/>
      <c r="P245" s="40"/>
    </row>
    <row r="246" spans="9:16" x14ac:dyDescent="0.25">
      <c r="I246" s="23"/>
      <c r="J246" s="23"/>
      <c r="K246" s="23"/>
      <c r="L246" s="23"/>
      <c r="M246" s="23"/>
      <c r="N246" s="23"/>
      <c r="O246" s="23"/>
      <c r="P246" s="40"/>
    </row>
    <row r="247" spans="9:16" x14ac:dyDescent="0.25">
      <c r="I247" s="23"/>
      <c r="J247" s="23"/>
      <c r="K247" s="23"/>
      <c r="L247" s="23"/>
      <c r="M247" s="23"/>
      <c r="N247" s="23"/>
      <c r="O247" s="23"/>
      <c r="P247" s="23"/>
    </row>
    <row r="248" spans="9:16" x14ac:dyDescent="0.25">
      <c r="I248" s="23"/>
      <c r="J248" s="23"/>
      <c r="K248" s="23"/>
      <c r="L248" s="23"/>
      <c r="M248" s="23"/>
      <c r="N248" s="23"/>
      <c r="O248" s="23"/>
      <c r="P248" s="23"/>
    </row>
    <row r="249" spans="9:16" x14ac:dyDescent="0.25">
      <c r="I249" s="23"/>
      <c r="J249" s="23"/>
      <c r="K249" s="23"/>
      <c r="L249" s="23"/>
      <c r="M249" s="23"/>
      <c r="N249" s="23"/>
      <c r="O249" s="23"/>
      <c r="P249" s="23"/>
    </row>
    <row r="250" spans="9:16" x14ac:dyDescent="0.25">
      <c r="I250" s="23"/>
      <c r="J250" s="23"/>
      <c r="K250" s="23"/>
      <c r="L250" s="23"/>
      <c r="M250" s="23"/>
      <c r="N250" s="23"/>
      <c r="O250" s="23"/>
      <c r="P250" s="23"/>
    </row>
    <row r="251" spans="9:16" x14ac:dyDescent="0.25">
      <c r="I251" s="23"/>
      <c r="J251" s="23"/>
      <c r="K251" s="23"/>
      <c r="L251" s="23"/>
      <c r="M251" s="23"/>
      <c r="N251" s="23"/>
      <c r="O251" s="23"/>
      <c r="P251" s="23"/>
    </row>
    <row r="252" spans="9:16" x14ac:dyDescent="0.25">
      <c r="I252" s="23"/>
      <c r="J252" s="23"/>
      <c r="K252" s="23"/>
      <c r="L252" s="23"/>
      <c r="M252" s="23"/>
      <c r="N252" s="23"/>
      <c r="O252" s="23"/>
      <c r="P252" s="23"/>
    </row>
    <row r="253" spans="9:16" x14ac:dyDescent="0.25">
      <c r="I253" s="23"/>
      <c r="J253" s="23"/>
      <c r="K253" s="23"/>
      <c r="L253" s="23"/>
      <c r="M253" s="23"/>
      <c r="N253" s="23"/>
      <c r="O253" s="23"/>
      <c r="P253" s="23"/>
    </row>
    <row r="254" spans="9:16" x14ac:dyDescent="0.25">
      <c r="I254" s="23"/>
      <c r="J254" s="23"/>
      <c r="K254" s="23"/>
      <c r="L254" s="23"/>
      <c r="M254" s="23"/>
      <c r="N254" s="23"/>
      <c r="O254" s="23"/>
      <c r="P254" s="23"/>
    </row>
  </sheetData>
  <mergeCells count="7">
    <mergeCell ref="Y155:Z155"/>
    <mergeCell ref="AB155:AC155"/>
    <mergeCell ref="A5:H5"/>
    <mergeCell ref="A6:H6"/>
    <mergeCell ref="A7:H7"/>
    <mergeCell ref="Y154:Z154"/>
    <mergeCell ref="AB154:AC154"/>
  </mergeCells>
  <printOptions horizontalCentered="1"/>
  <pageMargins left="0.11811023622047245" right="0.11811023622047245" top="0" bottom="0.74803149606299213" header="0.31496062992125984" footer="0.31496062992125984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51"/>
  <sheetViews>
    <sheetView topLeftCell="J150" workbookViewId="0">
      <selection activeCell="S165" sqref="S165"/>
    </sheetView>
  </sheetViews>
  <sheetFormatPr baseColWidth="10" defaultColWidth="11.42578125" defaultRowHeight="15" x14ac:dyDescent="0.2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3.28515625" customWidth="1"/>
    <col min="6" max="6" width="34.5703125" customWidth="1"/>
    <col min="7" max="7" width="15.5703125" customWidth="1"/>
    <col min="8" max="8" width="14" style="27" customWidth="1"/>
    <col min="9" max="9" width="23.42578125" hidden="1" customWidth="1"/>
    <col min="10" max="10" width="14.28515625" customWidth="1"/>
    <col min="11" max="11" width="14.5703125" customWidth="1"/>
    <col min="12" max="12" width="13.85546875" customWidth="1"/>
    <col min="13" max="13" width="13.5703125" customWidth="1"/>
    <col min="14" max="14" width="13.28515625" customWidth="1"/>
    <col min="15" max="15" width="15" customWidth="1"/>
    <col min="16" max="16" width="14.7109375" customWidth="1"/>
    <col min="17" max="17" width="15.28515625" hidden="1" customWidth="1"/>
    <col min="18" max="18" width="19.42578125" customWidth="1"/>
    <col min="19" max="19" width="66.42578125" customWidth="1"/>
    <col min="20" max="20" width="28.5703125" customWidth="1"/>
    <col min="21" max="21" width="19.140625" customWidth="1"/>
    <col min="22" max="23" width="14.140625" bestFit="1" customWidth="1"/>
    <col min="24" max="24" width="19.7109375" customWidth="1"/>
    <col min="26" max="26" width="13.140625" bestFit="1" customWidth="1"/>
    <col min="230" max="230" width="4.85546875" bestFit="1" customWidth="1"/>
    <col min="231" max="231" width="5.85546875" bestFit="1" customWidth="1"/>
    <col min="232" max="232" width="7.42578125" bestFit="1" customWidth="1"/>
    <col min="233" max="233" width="8.140625" bestFit="1" customWidth="1"/>
    <col min="234" max="234" width="4.5703125" bestFit="1" customWidth="1"/>
    <col min="235" max="235" width="57.5703125" customWidth="1"/>
    <col min="236" max="236" width="14.28515625" customWidth="1"/>
    <col min="237" max="237" width="0.85546875" customWidth="1"/>
    <col min="238" max="238" width="16.5703125" bestFit="1" customWidth="1"/>
    <col min="239" max="239" width="13.42578125" bestFit="1" customWidth="1"/>
    <col min="486" max="486" width="4.85546875" bestFit="1" customWidth="1"/>
    <col min="487" max="487" width="5.85546875" bestFit="1" customWidth="1"/>
    <col min="488" max="488" width="7.42578125" bestFit="1" customWidth="1"/>
    <col min="489" max="489" width="8.140625" bestFit="1" customWidth="1"/>
    <col min="490" max="490" width="4.5703125" bestFit="1" customWidth="1"/>
    <col min="491" max="491" width="57.5703125" customWidth="1"/>
    <col min="492" max="492" width="14.28515625" customWidth="1"/>
    <col min="493" max="493" width="0.85546875" customWidth="1"/>
    <col min="494" max="494" width="16.5703125" bestFit="1" customWidth="1"/>
    <col min="495" max="495" width="13.42578125" bestFit="1" customWidth="1"/>
    <col min="742" max="742" width="4.85546875" bestFit="1" customWidth="1"/>
    <col min="743" max="743" width="5.85546875" bestFit="1" customWidth="1"/>
    <col min="744" max="744" width="7.42578125" bestFit="1" customWidth="1"/>
    <col min="745" max="745" width="8.140625" bestFit="1" customWidth="1"/>
    <col min="746" max="746" width="4.5703125" bestFit="1" customWidth="1"/>
    <col min="747" max="747" width="57.5703125" customWidth="1"/>
    <col min="748" max="748" width="14.28515625" customWidth="1"/>
    <col min="749" max="749" width="0.85546875" customWidth="1"/>
    <col min="750" max="750" width="16.5703125" bestFit="1" customWidth="1"/>
    <col min="751" max="751" width="13.42578125" bestFit="1" customWidth="1"/>
    <col min="998" max="998" width="4.85546875" bestFit="1" customWidth="1"/>
    <col min="999" max="999" width="5.85546875" bestFit="1" customWidth="1"/>
    <col min="1000" max="1000" width="7.42578125" bestFit="1" customWidth="1"/>
    <col min="1001" max="1001" width="8.140625" bestFit="1" customWidth="1"/>
    <col min="1002" max="1002" width="4.5703125" bestFit="1" customWidth="1"/>
    <col min="1003" max="1003" width="57.5703125" customWidth="1"/>
    <col min="1004" max="1004" width="14.28515625" customWidth="1"/>
    <col min="1005" max="1005" width="0.85546875" customWidth="1"/>
    <col min="1006" max="1006" width="16.5703125" bestFit="1" customWidth="1"/>
    <col min="1007" max="1007" width="13.42578125" bestFit="1" customWidth="1"/>
    <col min="1254" max="1254" width="4.85546875" bestFit="1" customWidth="1"/>
    <col min="1255" max="1255" width="5.85546875" bestFit="1" customWidth="1"/>
    <col min="1256" max="1256" width="7.42578125" bestFit="1" customWidth="1"/>
    <col min="1257" max="1257" width="8.140625" bestFit="1" customWidth="1"/>
    <col min="1258" max="1258" width="4.5703125" bestFit="1" customWidth="1"/>
    <col min="1259" max="1259" width="57.5703125" customWidth="1"/>
    <col min="1260" max="1260" width="14.28515625" customWidth="1"/>
    <col min="1261" max="1261" width="0.85546875" customWidth="1"/>
    <col min="1262" max="1262" width="16.5703125" bestFit="1" customWidth="1"/>
    <col min="1263" max="1263" width="13.42578125" bestFit="1" customWidth="1"/>
    <col min="1510" max="1510" width="4.85546875" bestFit="1" customWidth="1"/>
    <col min="1511" max="1511" width="5.85546875" bestFit="1" customWidth="1"/>
    <col min="1512" max="1512" width="7.42578125" bestFit="1" customWidth="1"/>
    <col min="1513" max="1513" width="8.140625" bestFit="1" customWidth="1"/>
    <col min="1514" max="1514" width="4.5703125" bestFit="1" customWidth="1"/>
    <col min="1515" max="1515" width="57.5703125" customWidth="1"/>
    <col min="1516" max="1516" width="14.28515625" customWidth="1"/>
    <col min="1517" max="1517" width="0.85546875" customWidth="1"/>
    <col min="1518" max="1518" width="16.5703125" bestFit="1" customWidth="1"/>
    <col min="1519" max="1519" width="13.42578125" bestFit="1" customWidth="1"/>
    <col min="1766" max="1766" width="4.85546875" bestFit="1" customWidth="1"/>
    <col min="1767" max="1767" width="5.85546875" bestFit="1" customWidth="1"/>
    <col min="1768" max="1768" width="7.42578125" bestFit="1" customWidth="1"/>
    <col min="1769" max="1769" width="8.140625" bestFit="1" customWidth="1"/>
    <col min="1770" max="1770" width="4.5703125" bestFit="1" customWidth="1"/>
    <col min="1771" max="1771" width="57.5703125" customWidth="1"/>
    <col min="1772" max="1772" width="14.28515625" customWidth="1"/>
    <col min="1773" max="1773" width="0.85546875" customWidth="1"/>
    <col min="1774" max="1774" width="16.5703125" bestFit="1" customWidth="1"/>
    <col min="1775" max="1775" width="13.42578125" bestFit="1" customWidth="1"/>
    <col min="2022" max="2022" width="4.85546875" bestFit="1" customWidth="1"/>
    <col min="2023" max="2023" width="5.85546875" bestFit="1" customWidth="1"/>
    <col min="2024" max="2024" width="7.42578125" bestFit="1" customWidth="1"/>
    <col min="2025" max="2025" width="8.140625" bestFit="1" customWidth="1"/>
    <col min="2026" max="2026" width="4.5703125" bestFit="1" customWidth="1"/>
    <col min="2027" max="2027" width="57.5703125" customWidth="1"/>
    <col min="2028" max="2028" width="14.28515625" customWidth="1"/>
    <col min="2029" max="2029" width="0.85546875" customWidth="1"/>
    <col min="2030" max="2030" width="16.5703125" bestFit="1" customWidth="1"/>
    <col min="2031" max="2031" width="13.42578125" bestFit="1" customWidth="1"/>
    <col min="2278" max="2278" width="4.85546875" bestFit="1" customWidth="1"/>
    <col min="2279" max="2279" width="5.85546875" bestFit="1" customWidth="1"/>
    <col min="2280" max="2280" width="7.42578125" bestFit="1" customWidth="1"/>
    <col min="2281" max="2281" width="8.140625" bestFit="1" customWidth="1"/>
    <col min="2282" max="2282" width="4.5703125" bestFit="1" customWidth="1"/>
    <col min="2283" max="2283" width="57.5703125" customWidth="1"/>
    <col min="2284" max="2284" width="14.28515625" customWidth="1"/>
    <col min="2285" max="2285" width="0.85546875" customWidth="1"/>
    <col min="2286" max="2286" width="16.5703125" bestFit="1" customWidth="1"/>
    <col min="2287" max="2287" width="13.42578125" bestFit="1" customWidth="1"/>
    <col min="2534" max="2534" width="4.85546875" bestFit="1" customWidth="1"/>
    <col min="2535" max="2535" width="5.85546875" bestFit="1" customWidth="1"/>
    <col min="2536" max="2536" width="7.42578125" bestFit="1" customWidth="1"/>
    <col min="2537" max="2537" width="8.140625" bestFit="1" customWidth="1"/>
    <col min="2538" max="2538" width="4.5703125" bestFit="1" customWidth="1"/>
    <col min="2539" max="2539" width="57.5703125" customWidth="1"/>
    <col min="2540" max="2540" width="14.28515625" customWidth="1"/>
    <col min="2541" max="2541" width="0.85546875" customWidth="1"/>
    <col min="2542" max="2542" width="16.5703125" bestFit="1" customWidth="1"/>
    <col min="2543" max="2543" width="13.42578125" bestFit="1" customWidth="1"/>
    <col min="2790" max="2790" width="4.85546875" bestFit="1" customWidth="1"/>
    <col min="2791" max="2791" width="5.85546875" bestFit="1" customWidth="1"/>
    <col min="2792" max="2792" width="7.42578125" bestFit="1" customWidth="1"/>
    <col min="2793" max="2793" width="8.140625" bestFit="1" customWidth="1"/>
    <col min="2794" max="2794" width="4.5703125" bestFit="1" customWidth="1"/>
    <col min="2795" max="2795" width="57.5703125" customWidth="1"/>
    <col min="2796" max="2796" width="14.28515625" customWidth="1"/>
    <col min="2797" max="2797" width="0.85546875" customWidth="1"/>
    <col min="2798" max="2798" width="16.5703125" bestFit="1" customWidth="1"/>
    <col min="2799" max="2799" width="13.42578125" bestFit="1" customWidth="1"/>
    <col min="3046" max="3046" width="4.85546875" bestFit="1" customWidth="1"/>
    <col min="3047" max="3047" width="5.85546875" bestFit="1" customWidth="1"/>
    <col min="3048" max="3048" width="7.42578125" bestFit="1" customWidth="1"/>
    <col min="3049" max="3049" width="8.140625" bestFit="1" customWidth="1"/>
    <col min="3050" max="3050" width="4.5703125" bestFit="1" customWidth="1"/>
    <col min="3051" max="3051" width="57.5703125" customWidth="1"/>
    <col min="3052" max="3052" width="14.28515625" customWidth="1"/>
    <col min="3053" max="3053" width="0.85546875" customWidth="1"/>
    <col min="3054" max="3054" width="16.5703125" bestFit="1" customWidth="1"/>
    <col min="3055" max="3055" width="13.42578125" bestFit="1" customWidth="1"/>
    <col min="3302" max="3302" width="4.85546875" bestFit="1" customWidth="1"/>
    <col min="3303" max="3303" width="5.85546875" bestFit="1" customWidth="1"/>
    <col min="3304" max="3304" width="7.42578125" bestFit="1" customWidth="1"/>
    <col min="3305" max="3305" width="8.140625" bestFit="1" customWidth="1"/>
    <col min="3306" max="3306" width="4.5703125" bestFit="1" customWidth="1"/>
    <col min="3307" max="3307" width="57.5703125" customWidth="1"/>
    <col min="3308" max="3308" width="14.28515625" customWidth="1"/>
    <col min="3309" max="3309" width="0.85546875" customWidth="1"/>
    <col min="3310" max="3310" width="16.5703125" bestFit="1" customWidth="1"/>
    <col min="3311" max="3311" width="13.42578125" bestFit="1" customWidth="1"/>
    <col min="3558" max="3558" width="4.85546875" bestFit="1" customWidth="1"/>
    <col min="3559" max="3559" width="5.85546875" bestFit="1" customWidth="1"/>
    <col min="3560" max="3560" width="7.42578125" bestFit="1" customWidth="1"/>
    <col min="3561" max="3561" width="8.140625" bestFit="1" customWidth="1"/>
    <col min="3562" max="3562" width="4.5703125" bestFit="1" customWidth="1"/>
    <col min="3563" max="3563" width="57.5703125" customWidth="1"/>
    <col min="3564" max="3564" width="14.28515625" customWidth="1"/>
    <col min="3565" max="3565" width="0.85546875" customWidth="1"/>
    <col min="3566" max="3566" width="16.5703125" bestFit="1" customWidth="1"/>
    <col min="3567" max="3567" width="13.42578125" bestFit="1" customWidth="1"/>
    <col min="3814" max="3814" width="4.85546875" bestFit="1" customWidth="1"/>
    <col min="3815" max="3815" width="5.85546875" bestFit="1" customWidth="1"/>
    <col min="3816" max="3816" width="7.42578125" bestFit="1" customWidth="1"/>
    <col min="3817" max="3817" width="8.140625" bestFit="1" customWidth="1"/>
    <col min="3818" max="3818" width="4.5703125" bestFit="1" customWidth="1"/>
    <col min="3819" max="3819" width="57.5703125" customWidth="1"/>
    <col min="3820" max="3820" width="14.28515625" customWidth="1"/>
    <col min="3821" max="3821" width="0.85546875" customWidth="1"/>
    <col min="3822" max="3822" width="16.5703125" bestFit="1" customWidth="1"/>
    <col min="3823" max="3823" width="13.42578125" bestFit="1" customWidth="1"/>
    <col min="4070" max="4070" width="4.85546875" bestFit="1" customWidth="1"/>
    <col min="4071" max="4071" width="5.85546875" bestFit="1" customWidth="1"/>
    <col min="4072" max="4072" width="7.42578125" bestFit="1" customWidth="1"/>
    <col min="4073" max="4073" width="8.140625" bestFit="1" customWidth="1"/>
    <col min="4074" max="4074" width="4.5703125" bestFit="1" customWidth="1"/>
    <col min="4075" max="4075" width="57.5703125" customWidth="1"/>
    <col min="4076" max="4076" width="14.28515625" customWidth="1"/>
    <col min="4077" max="4077" width="0.85546875" customWidth="1"/>
    <col min="4078" max="4078" width="16.5703125" bestFit="1" customWidth="1"/>
    <col min="4079" max="4079" width="13.42578125" bestFit="1" customWidth="1"/>
    <col min="4326" max="4326" width="4.85546875" bestFit="1" customWidth="1"/>
    <col min="4327" max="4327" width="5.85546875" bestFit="1" customWidth="1"/>
    <col min="4328" max="4328" width="7.42578125" bestFit="1" customWidth="1"/>
    <col min="4329" max="4329" width="8.140625" bestFit="1" customWidth="1"/>
    <col min="4330" max="4330" width="4.5703125" bestFit="1" customWidth="1"/>
    <col min="4331" max="4331" width="57.5703125" customWidth="1"/>
    <col min="4332" max="4332" width="14.28515625" customWidth="1"/>
    <col min="4333" max="4333" width="0.85546875" customWidth="1"/>
    <col min="4334" max="4334" width="16.5703125" bestFit="1" customWidth="1"/>
    <col min="4335" max="4335" width="13.42578125" bestFit="1" customWidth="1"/>
    <col min="4582" max="4582" width="4.85546875" bestFit="1" customWidth="1"/>
    <col min="4583" max="4583" width="5.85546875" bestFit="1" customWidth="1"/>
    <col min="4584" max="4584" width="7.42578125" bestFit="1" customWidth="1"/>
    <col min="4585" max="4585" width="8.140625" bestFit="1" customWidth="1"/>
    <col min="4586" max="4586" width="4.5703125" bestFit="1" customWidth="1"/>
    <col min="4587" max="4587" width="57.5703125" customWidth="1"/>
    <col min="4588" max="4588" width="14.28515625" customWidth="1"/>
    <col min="4589" max="4589" width="0.85546875" customWidth="1"/>
    <col min="4590" max="4590" width="16.5703125" bestFit="1" customWidth="1"/>
    <col min="4591" max="4591" width="13.42578125" bestFit="1" customWidth="1"/>
    <col min="4838" max="4838" width="4.85546875" bestFit="1" customWidth="1"/>
    <col min="4839" max="4839" width="5.85546875" bestFit="1" customWidth="1"/>
    <col min="4840" max="4840" width="7.42578125" bestFit="1" customWidth="1"/>
    <col min="4841" max="4841" width="8.140625" bestFit="1" customWidth="1"/>
    <col min="4842" max="4842" width="4.5703125" bestFit="1" customWidth="1"/>
    <col min="4843" max="4843" width="57.5703125" customWidth="1"/>
    <col min="4844" max="4844" width="14.28515625" customWidth="1"/>
    <col min="4845" max="4845" width="0.85546875" customWidth="1"/>
    <col min="4846" max="4846" width="16.5703125" bestFit="1" customWidth="1"/>
    <col min="4847" max="4847" width="13.42578125" bestFit="1" customWidth="1"/>
    <col min="5094" max="5094" width="4.85546875" bestFit="1" customWidth="1"/>
    <col min="5095" max="5095" width="5.85546875" bestFit="1" customWidth="1"/>
    <col min="5096" max="5096" width="7.42578125" bestFit="1" customWidth="1"/>
    <col min="5097" max="5097" width="8.140625" bestFit="1" customWidth="1"/>
    <col min="5098" max="5098" width="4.5703125" bestFit="1" customWidth="1"/>
    <col min="5099" max="5099" width="57.5703125" customWidth="1"/>
    <col min="5100" max="5100" width="14.28515625" customWidth="1"/>
    <col min="5101" max="5101" width="0.85546875" customWidth="1"/>
    <col min="5102" max="5102" width="16.5703125" bestFit="1" customWidth="1"/>
    <col min="5103" max="5103" width="13.42578125" bestFit="1" customWidth="1"/>
    <col min="5350" max="5350" width="4.85546875" bestFit="1" customWidth="1"/>
    <col min="5351" max="5351" width="5.85546875" bestFit="1" customWidth="1"/>
    <col min="5352" max="5352" width="7.42578125" bestFit="1" customWidth="1"/>
    <col min="5353" max="5353" width="8.140625" bestFit="1" customWidth="1"/>
    <col min="5354" max="5354" width="4.5703125" bestFit="1" customWidth="1"/>
    <col min="5355" max="5355" width="57.5703125" customWidth="1"/>
    <col min="5356" max="5356" width="14.28515625" customWidth="1"/>
    <col min="5357" max="5357" width="0.85546875" customWidth="1"/>
    <col min="5358" max="5358" width="16.5703125" bestFit="1" customWidth="1"/>
    <col min="5359" max="5359" width="13.42578125" bestFit="1" customWidth="1"/>
    <col min="5606" max="5606" width="4.85546875" bestFit="1" customWidth="1"/>
    <col min="5607" max="5607" width="5.85546875" bestFit="1" customWidth="1"/>
    <col min="5608" max="5608" width="7.42578125" bestFit="1" customWidth="1"/>
    <col min="5609" max="5609" width="8.140625" bestFit="1" customWidth="1"/>
    <col min="5610" max="5610" width="4.5703125" bestFit="1" customWidth="1"/>
    <col min="5611" max="5611" width="57.5703125" customWidth="1"/>
    <col min="5612" max="5612" width="14.28515625" customWidth="1"/>
    <col min="5613" max="5613" width="0.85546875" customWidth="1"/>
    <col min="5614" max="5614" width="16.5703125" bestFit="1" customWidth="1"/>
    <col min="5615" max="5615" width="13.42578125" bestFit="1" customWidth="1"/>
    <col min="5862" max="5862" width="4.85546875" bestFit="1" customWidth="1"/>
    <col min="5863" max="5863" width="5.85546875" bestFit="1" customWidth="1"/>
    <col min="5864" max="5864" width="7.42578125" bestFit="1" customWidth="1"/>
    <col min="5865" max="5865" width="8.140625" bestFit="1" customWidth="1"/>
    <col min="5866" max="5866" width="4.5703125" bestFit="1" customWidth="1"/>
    <col min="5867" max="5867" width="57.5703125" customWidth="1"/>
    <col min="5868" max="5868" width="14.28515625" customWidth="1"/>
    <col min="5869" max="5869" width="0.85546875" customWidth="1"/>
    <col min="5870" max="5870" width="16.5703125" bestFit="1" customWidth="1"/>
    <col min="5871" max="5871" width="13.42578125" bestFit="1" customWidth="1"/>
    <col min="6118" max="6118" width="4.85546875" bestFit="1" customWidth="1"/>
    <col min="6119" max="6119" width="5.85546875" bestFit="1" customWidth="1"/>
    <col min="6120" max="6120" width="7.42578125" bestFit="1" customWidth="1"/>
    <col min="6121" max="6121" width="8.140625" bestFit="1" customWidth="1"/>
    <col min="6122" max="6122" width="4.5703125" bestFit="1" customWidth="1"/>
    <col min="6123" max="6123" width="57.5703125" customWidth="1"/>
    <col min="6124" max="6124" width="14.28515625" customWidth="1"/>
    <col min="6125" max="6125" width="0.85546875" customWidth="1"/>
    <col min="6126" max="6126" width="16.5703125" bestFit="1" customWidth="1"/>
    <col min="6127" max="6127" width="13.42578125" bestFit="1" customWidth="1"/>
    <col min="6374" max="6374" width="4.85546875" bestFit="1" customWidth="1"/>
    <col min="6375" max="6375" width="5.85546875" bestFit="1" customWidth="1"/>
    <col min="6376" max="6376" width="7.42578125" bestFit="1" customWidth="1"/>
    <col min="6377" max="6377" width="8.140625" bestFit="1" customWidth="1"/>
    <col min="6378" max="6378" width="4.5703125" bestFit="1" customWidth="1"/>
    <col min="6379" max="6379" width="57.5703125" customWidth="1"/>
    <col min="6380" max="6380" width="14.28515625" customWidth="1"/>
    <col min="6381" max="6381" width="0.85546875" customWidth="1"/>
    <col min="6382" max="6382" width="16.5703125" bestFit="1" customWidth="1"/>
    <col min="6383" max="6383" width="13.42578125" bestFit="1" customWidth="1"/>
    <col min="6630" max="6630" width="4.85546875" bestFit="1" customWidth="1"/>
    <col min="6631" max="6631" width="5.85546875" bestFit="1" customWidth="1"/>
    <col min="6632" max="6632" width="7.42578125" bestFit="1" customWidth="1"/>
    <col min="6633" max="6633" width="8.140625" bestFit="1" customWidth="1"/>
    <col min="6634" max="6634" width="4.5703125" bestFit="1" customWidth="1"/>
    <col min="6635" max="6635" width="57.5703125" customWidth="1"/>
    <col min="6636" max="6636" width="14.28515625" customWidth="1"/>
    <col min="6637" max="6637" width="0.85546875" customWidth="1"/>
    <col min="6638" max="6638" width="16.5703125" bestFit="1" customWidth="1"/>
    <col min="6639" max="6639" width="13.42578125" bestFit="1" customWidth="1"/>
    <col min="6886" max="6886" width="4.85546875" bestFit="1" customWidth="1"/>
    <col min="6887" max="6887" width="5.85546875" bestFit="1" customWidth="1"/>
    <col min="6888" max="6888" width="7.42578125" bestFit="1" customWidth="1"/>
    <col min="6889" max="6889" width="8.140625" bestFit="1" customWidth="1"/>
    <col min="6890" max="6890" width="4.5703125" bestFit="1" customWidth="1"/>
    <col min="6891" max="6891" width="57.5703125" customWidth="1"/>
    <col min="6892" max="6892" width="14.28515625" customWidth="1"/>
    <col min="6893" max="6893" width="0.85546875" customWidth="1"/>
    <col min="6894" max="6894" width="16.5703125" bestFit="1" customWidth="1"/>
    <col min="6895" max="6895" width="13.42578125" bestFit="1" customWidth="1"/>
    <col min="7142" max="7142" width="4.85546875" bestFit="1" customWidth="1"/>
    <col min="7143" max="7143" width="5.85546875" bestFit="1" customWidth="1"/>
    <col min="7144" max="7144" width="7.42578125" bestFit="1" customWidth="1"/>
    <col min="7145" max="7145" width="8.140625" bestFit="1" customWidth="1"/>
    <col min="7146" max="7146" width="4.5703125" bestFit="1" customWidth="1"/>
    <col min="7147" max="7147" width="57.5703125" customWidth="1"/>
    <col min="7148" max="7148" width="14.28515625" customWidth="1"/>
    <col min="7149" max="7149" width="0.85546875" customWidth="1"/>
    <col min="7150" max="7150" width="16.5703125" bestFit="1" customWidth="1"/>
    <col min="7151" max="7151" width="13.42578125" bestFit="1" customWidth="1"/>
    <col min="7398" max="7398" width="4.85546875" bestFit="1" customWidth="1"/>
    <col min="7399" max="7399" width="5.85546875" bestFit="1" customWidth="1"/>
    <col min="7400" max="7400" width="7.42578125" bestFit="1" customWidth="1"/>
    <col min="7401" max="7401" width="8.140625" bestFit="1" customWidth="1"/>
    <col min="7402" max="7402" width="4.5703125" bestFit="1" customWidth="1"/>
    <col min="7403" max="7403" width="57.5703125" customWidth="1"/>
    <col min="7404" max="7404" width="14.28515625" customWidth="1"/>
    <col min="7405" max="7405" width="0.85546875" customWidth="1"/>
    <col min="7406" max="7406" width="16.5703125" bestFit="1" customWidth="1"/>
    <col min="7407" max="7407" width="13.42578125" bestFit="1" customWidth="1"/>
    <col min="7654" max="7654" width="4.85546875" bestFit="1" customWidth="1"/>
    <col min="7655" max="7655" width="5.85546875" bestFit="1" customWidth="1"/>
    <col min="7656" max="7656" width="7.42578125" bestFit="1" customWidth="1"/>
    <col min="7657" max="7657" width="8.140625" bestFit="1" customWidth="1"/>
    <col min="7658" max="7658" width="4.5703125" bestFit="1" customWidth="1"/>
    <col min="7659" max="7659" width="57.5703125" customWidth="1"/>
    <col min="7660" max="7660" width="14.28515625" customWidth="1"/>
    <col min="7661" max="7661" width="0.85546875" customWidth="1"/>
    <col min="7662" max="7662" width="16.5703125" bestFit="1" customWidth="1"/>
    <col min="7663" max="7663" width="13.42578125" bestFit="1" customWidth="1"/>
    <col min="7910" max="7910" width="4.85546875" bestFit="1" customWidth="1"/>
    <col min="7911" max="7911" width="5.85546875" bestFit="1" customWidth="1"/>
    <col min="7912" max="7912" width="7.42578125" bestFit="1" customWidth="1"/>
    <col min="7913" max="7913" width="8.140625" bestFit="1" customWidth="1"/>
    <col min="7914" max="7914" width="4.5703125" bestFit="1" customWidth="1"/>
    <col min="7915" max="7915" width="57.5703125" customWidth="1"/>
    <col min="7916" max="7916" width="14.28515625" customWidth="1"/>
    <col min="7917" max="7917" width="0.85546875" customWidth="1"/>
    <col min="7918" max="7918" width="16.5703125" bestFit="1" customWidth="1"/>
    <col min="7919" max="7919" width="13.42578125" bestFit="1" customWidth="1"/>
    <col min="8166" max="8166" width="4.85546875" bestFit="1" customWidth="1"/>
    <col min="8167" max="8167" width="5.85546875" bestFit="1" customWidth="1"/>
    <col min="8168" max="8168" width="7.42578125" bestFit="1" customWidth="1"/>
    <col min="8169" max="8169" width="8.140625" bestFit="1" customWidth="1"/>
    <col min="8170" max="8170" width="4.5703125" bestFit="1" customWidth="1"/>
    <col min="8171" max="8171" width="57.5703125" customWidth="1"/>
    <col min="8172" max="8172" width="14.28515625" customWidth="1"/>
    <col min="8173" max="8173" width="0.85546875" customWidth="1"/>
    <col min="8174" max="8174" width="16.5703125" bestFit="1" customWidth="1"/>
    <col min="8175" max="8175" width="13.42578125" bestFit="1" customWidth="1"/>
    <col min="8422" max="8422" width="4.85546875" bestFit="1" customWidth="1"/>
    <col min="8423" max="8423" width="5.85546875" bestFit="1" customWidth="1"/>
    <col min="8424" max="8424" width="7.42578125" bestFit="1" customWidth="1"/>
    <col min="8425" max="8425" width="8.140625" bestFit="1" customWidth="1"/>
    <col min="8426" max="8426" width="4.5703125" bestFit="1" customWidth="1"/>
    <col min="8427" max="8427" width="57.5703125" customWidth="1"/>
    <col min="8428" max="8428" width="14.28515625" customWidth="1"/>
    <col min="8429" max="8429" width="0.85546875" customWidth="1"/>
    <col min="8430" max="8430" width="16.5703125" bestFit="1" customWidth="1"/>
    <col min="8431" max="8431" width="13.42578125" bestFit="1" customWidth="1"/>
    <col min="8678" max="8678" width="4.85546875" bestFit="1" customWidth="1"/>
    <col min="8679" max="8679" width="5.85546875" bestFit="1" customWidth="1"/>
    <col min="8680" max="8680" width="7.42578125" bestFit="1" customWidth="1"/>
    <col min="8681" max="8681" width="8.140625" bestFit="1" customWidth="1"/>
    <col min="8682" max="8682" width="4.5703125" bestFit="1" customWidth="1"/>
    <col min="8683" max="8683" width="57.5703125" customWidth="1"/>
    <col min="8684" max="8684" width="14.28515625" customWidth="1"/>
    <col min="8685" max="8685" width="0.85546875" customWidth="1"/>
    <col min="8686" max="8686" width="16.5703125" bestFit="1" customWidth="1"/>
    <col min="8687" max="8687" width="13.42578125" bestFit="1" customWidth="1"/>
    <col min="8934" max="8934" width="4.85546875" bestFit="1" customWidth="1"/>
    <col min="8935" max="8935" width="5.85546875" bestFit="1" customWidth="1"/>
    <col min="8936" max="8936" width="7.42578125" bestFit="1" customWidth="1"/>
    <col min="8937" max="8937" width="8.140625" bestFit="1" customWidth="1"/>
    <col min="8938" max="8938" width="4.5703125" bestFit="1" customWidth="1"/>
    <col min="8939" max="8939" width="57.5703125" customWidth="1"/>
    <col min="8940" max="8940" width="14.28515625" customWidth="1"/>
    <col min="8941" max="8941" width="0.85546875" customWidth="1"/>
    <col min="8942" max="8942" width="16.5703125" bestFit="1" customWidth="1"/>
    <col min="8943" max="8943" width="13.42578125" bestFit="1" customWidth="1"/>
    <col min="9190" max="9190" width="4.85546875" bestFit="1" customWidth="1"/>
    <col min="9191" max="9191" width="5.85546875" bestFit="1" customWidth="1"/>
    <col min="9192" max="9192" width="7.42578125" bestFit="1" customWidth="1"/>
    <col min="9193" max="9193" width="8.140625" bestFit="1" customWidth="1"/>
    <col min="9194" max="9194" width="4.5703125" bestFit="1" customWidth="1"/>
    <col min="9195" max="9195" width="57.5703125" customWidth="1"/>
    <col min="9196" max="9196" width="14.28515625" customWidth="1"/>
    <col min="9197" max="9197" width="0.85546875" customWidth="1"/>
    <col min="9198" max="9198" width="16.5703125" bestFit="1" customWidth="1"/>
    <col min="9199" max="9199" width="13.42578125" bestFit="1" customWidth="1"/>
    <col min="9446" max="9446" width="4.85546875" bestFit="1" customWidth="1"/>
    <col min="9447" max="9447" width="5.85546875" bestFit="1" customWidth="1"/>
    <col min="9448" max="9448" width="7.42578125" bestFit="1" customWidth="1"/>
    <col min="9449" max="9449" width="8.140625" bestFit="1" customWidth="1"/>
    <col min="9450" max="9450" width="4.5703125" bestFit="1" customWidth="1"/>
    <col min="9451" max="9451" width="57.5703125" customWidth="1"/>
    <col min="9452" max="9452" width="14.28515625" customWidth="1"/>
    <col min="9453" max="9453" width="0.85546875" customWidth="1"/>
    <col min="9454" max="9454" width="16.5703125" bestFit="1" customWidth="1"/>
    <col min="9455" max="9455" width="13.42578125" bestFit="1" customWidth="1"/>
    <col min="9702" max="9702" width="4.85546875" bestFit="1" customWidth="1"/>
    <col min="9703" max="9703" width="5.85546875" bestFit="1" customWidth="1"/>
    <col min="9704" max="9704" width="7.42578125" bestFit="1" customWidth="1"/>
    <col min="9705" max="9705" width="8.140625" bestFit="1" customWidth="1"/>
    <col min="9706" max="9706" width="4.5703125" bestFit="1" customWidth="1"/>
    <col min="9707" max="9707" width="57.5703125" customWidth="1"/>
    <col min="9708" max="9708" width="14.28515625" customWidth="1"/>
    <col min="9709" max="9709" width="0.85546875" customWidth="1"/>
    <col min="9710" max="9710" width="16.5703125" bestFit="1" customWidth="1"/>
    <col min="9711" max="9711" width="13.42578125" bestFit="1" customWidth="1"/>
    <col min="9958" max="9958" width="4.85546875" bestFit="1" customWidth="1"/>
    <col min="9959" max="9959" width="5.85546875" bestFit="1" customWidth="1"/>
    <col min="9960" max="9960" width="7.42578125" bestFit="1" customWidth="1"/>
    <col min="9961" max="9961" width="8.140625" bestFit="1" customWidth="1"/>
    <col min="9962" max="9962" width="4.5703125" bestFit="1" customWidth="1"/>
    <col min="9963" max="9963" width="57.5703125" customWidth="1"/>
    <col min="9964" max="9964" width="14.28515625" customWidth="1"/>
    <col min="9965" max="9965" width="0.85546875" customWidth="1"/>
    <col min="9966" max="9966" width="16.5703125" bestFit="1" customWidth="1"/>
    <col min="9967" max="9967" width="13.42578125" bestFit="1" customWidth="1"/>
    <col min="10214" max="10214" width="4.85546875" bestFit="1" customWidth="1"/>
    <col min="10215" max="10215" width="5.85546875" bestFit="1" customWidth="1"/>
    <col min="10216" max="10216" width="7.42578125" bestFit="1" customWidth="1"/>
    <col min="10217" max="10217" width="8.140625" bestFit="1" customWidth="1"/>
    <col min="10218" max="10218" width="4.5703125" bestFit="1" customWidth="1"/>
    <col min="10219" max="10219" width="57.5703125" customWidth="1"/>
    <col min="10220" max="10220" width="14.28515625" customWidth="1"/>
    <col min="10221" max="10221" width="0.85546875" customWidth="1"/>
    <col min="10222" max="10222" width="16.5703125" bestFit="1" customWidth="1"/>
    <col min="10223" max="10223" width="13.42578125" bestFit="1" customWidth="1"/>
    <col min="10470" max="10470" width="4.85546875" bestFit="1" customWidth="1"/>
    <col min="10471" max="10471" width="5.85546875" bestFit="1" customWidth="1"/>
    <col min="10472" max="10472" width="7.42578125" bestFit="1" customWidth="1"/>
    <col min="10473" max="10473" width="8.140625" bestFit="1" customWidth="1"/>
    <col min="10474" max="10474" width="4.5703125" bestFit="1" customWidth="1"/>
    <col min="10475" max="10475" width="57.5703125" customWidth="1"/>
    <col min="10476" max="10476" width="14.28515625" customWidth="1"/>
    <col min="10477" max="10477" width="0.85546875" customWidth="1"/>
    <col min="10478" max="10478" width="16.5703125" bestFit="1" customWidth="1"/>
    <col min="10479" max="10479" width="13.42578125" bestFit="1" customWidth="1"/>
    <col min="10726" max="10726" width="4.85546875" bestFit="1" customWidth="1"/>
    <col min="10727" max="10727" width="5.85546875" bestFit="1" customWidth="1"/>
    <col min="10728" max="10728" width="7.42578125" bestFit="1" customWidth="1"/>
    <col min="10729" max="10729" width="8.140625" bestFit="1" customWidth="1"/>
    <col min="10730" max="10730" width="4.5703125" bestFit="1" customWidth="1"/>
    <col min="10731" max="10731" width="57.5703125" customWidth="1"/>
    <col min="10732" max="10732" width="14.28515625" customWidth="1"/>
    <col min="10733" max="10733" width="0.85546875" customWidth="1"/>
    <col min="10734" max="10734" width="16.5703125" bestFit="1" customWidth="1"/>
    <col min="10735" max="10735" width="13.42578125" bestFit="1" customWidth="1"/>
    <col min="10982" max="10982" width="4.85546875" bestFit="1" customWidth="1"/>
    <col min="10983" max="10983" width="5.85546875" bestFit="1" customWidth="1"/>
    <col min="10984" max="10984" width="7.42578125" bestFit="1" customWidth="1"/>
    <col min="10985" max="10985" width="8.140625" bestFit="1" customWidth="1"/>
    <col min="10986" max="10986" width="4.5703125" bestFit="1" customWidth="1"/>
    <col min="10987" max="10987" width="57.5703125" customWidth="1"/>
    <col min="10988" max="10988" width="14.28515625" customWidth="1"/>
    <col min="10989" max="10989" width="0.85546875" customWidth="1"/>
    <col min="10990" max="10990" width="16.5703125" bestFit="1" customWidth="1"/>
    <col min="10991" max="10991" width="13.42578125" bestFit="1" customWidth="1"/>
    <col min="11238" max="11238" width="4.85546875" bestFit="1" customWidth="1"/>
    <col min="11239" max="11239" width="5.85546875" bestFit="1" customWidth="1"/>
    <col min="11240" max="11240" width="7.42578125" bestFit="1" customWidth="1"/>
    <col min="11241" max="11241" width="8.140625" bestFit="1" customWidth="1"/>
    <col min="11242" max="11242" width="4.5703125" bestFit="1" customWidth="1"/>
    <col min="11243" max="11243" width="57.5703125" customWidth="1"/>
    <col min="11244" max="11244" width="14.28515625" customWidth="1"/>
    <col min="11245" max="11245" width="0.85546875" customWidth="1"/>
    <col min="11246" max="11246" width="16.5703125" bestFit="1" customWidth="1"/>
    <col min="11247" max="11247" width="13.42578125" bestFit="1" customWidth="1"/>
    <col min="11494" max="11494" width="4.85546875" bestFit="1" customWidth="1"/>
    <col min="11495" max="11495" width="5.85546875" bestFit="1" customWidth="1"/>
    <col min="11496" max="11496" width="7.42578125" bestFit="1" customWidth="1"/>
    <col min="11497" max="11497" width="8.140625" bestFit="1" customWidth="1"/>
    <col min="11498" max="11498" width="4.5703125" bestFit="1" customWidth="1"/>
    <col min="11499" max="11499" width="57.5703125" customWidth="1"/>
    <col min="11500" max="11500" width="14.28515625" customWidth="1"/>
    <col min="11501" max="11501" width="0.85546875" customWidth="1"/>
    <col min="11502" max="11502" width="16.5703125" bestFit="1" customWidth="1"/>
    <col min="11503" max="11503" width="13.42578125" bestFit="1" customWidth="1"/>
    <col min="11750" max="11750" width="4.85546875" bestFit="1" customWidth="1"/>
    <col min="11751" max="11751" width="5.85546875" bestFit="1" customWidth="1"/>
    <col min="11752" max="11752" width="7.42578125" bestFit="1" customWidth="1"/>
    <col min="11753" max="11753" width="8.140625" bestFit="1" customWidth="1"/>
    <col min="11754" max="11754" width="4.5703125" bestFit="1" customWidth="1"/>
    <col min="11755" max="11755" width="57.5703125" customWidth="1"/>
    <col min="11756" max="11756" width="14.28515625" customWidth="1"/>
    <col min="11757" max="11757" width="0.85546875" customWidth="1"/>
    <col min="11758" max="11758" width="16.5703125" bestFit="1" customWidth="1"/>
    <col min="11759" max="11759" width="13.42578125" bestFit="1" customWidth="1"/>
    <col min="12006" max="12006" width="4.85546875" bestFit="1" customWidth="1"/>
    <col min="12007" max="12007" width="5.85546875" bestFit="1" customWidth="1"/>
    <col min="12008" max="12008" width="7.42578125" bestFit="1" customWidth="1"/>
    <col min="12009" max="12009" width="8.140625" bestFit="1" customWidth="1"/>
    <col min="12010" max="12010" width="4.5703125" bestFit="1" customWidth="1"/>
    <col min="12011" max="12011" width="57.5703125" customWidth="1"/>
    <col min="12012" max="12012" width="14.28515625" customWidth="1"/>
    <col min="12013" max="12013" width="0.85546875" customWidth="1"/>
    <col min="12014" max="12014" width="16.5703125" bestFit="1" customWidth="1"/>
    <col min="12015" max="12015" width="13.42578125" bestFit="1" customWidth="1"/>
    <col min="12262" max="12262" width="4.85546875" bestFit="1" customWidth="1"/>
    <col min="12263" max="12263" width="5.85546875" bestFit="1" customWidth="1"/>
    <col min="12264" max="12264" width="7.42578125" bestFit="1" customWidth="1"/>
    <col min="12265" max="12265" width="8.140625" bestFit="1" customWidth="1"/>
    <col min="12266" max="12266" width="4.5703125" bestFit="1" customWidth="1"/>
    <col min="12267" max="12267" width="57.5703125" customWidth="1"/>
    <col min="12268" max="12268" width="14.28515625" customWidth="1"/>
    <col min="12269" max="12269" width="0.85546875" customWidth="1"/>
    <col min="12270" max="12270" width="16.5703125" bestFit="1" customWidth="1"/>
    <col min="12271" max="12271" width="13.42578125" bestFit="1" customWidth="1"/>
    <col min="12518" max="12518" width="4.85546875" bestFit="1" customWidth="1"/>
    <col min="12519" max="12519" width="5.85546875" bestFit="1" customWidth="1"/>
    <col min="12520" max="12520" width="7.42578125" bestFit="1" customWidth="1"/>
    <col min="12521" max="12521" width="8.140625" bestFit="1" customWidth="1"/>
    <col min="12522" max="12522" width="4.5703125" bestFit="1" customWidth="1"/>
    <col min="12523" max="12523" width="57.5703125" customWidth="1"/>
    <col min="12524" max="12524" width="14.28515625" customWidth="1"/>
    <col min="12525" max="12525" width="0.85546875" customWidth="1"/>
    <col min="12526" max="12526" width="16.5703125" bestFit="1" customWidth="1"/>
    <col min="12527" max="12527" width="13.42578125" bestFit="1" customWidth="1"/>
    <col min="12774" max="12774" width="4.85546875" bestFit="1" customWidth="1"/>
    <col min="12775" max="12775" width="5.85546875" bestFit="1" customWidth="1"/>
    <col min="12776" max="12776" width="7.42578125" bestFit="1" customWidth="1"/>
    <col min="12777" max="12777" width="8.140625" bestFit="1" customWidth="1"/>
    <col min="12778" max="12778" width="4.5703125" bestFit="1" customWidth="1"/>
    <col min="12779" max="12779" width="57.5703125" customWidth="1"/>
    <col min="12780" max="12780" width="14.28515625" customWidth="1"/>
    <col min="12781" max="12781" width="0.85546875" customWidth="1"/>
    <col min="12782" max="12782" width="16.5703125" bestFit="1" customWidth="1"/>
    <col min="12783" max="12783" width="13.42578125" bestFit="1" customWidth="1"/>
    <col min="13030" max="13030" width="4.85546875" bestFit="1" customWidth="1"/>
    <col min="13031" max="13031" width="5.85546875" bestFit="1" customWidth="1"/>
    <col min="13032" max="13032" width="7.42578125" bestFit="1" customWidth="1"/>
    <col min="13033" max="13033" width="8.140625" bestFit="1" customWidth="1"/>
    <col min="13034" max="13034" width="4.5703125" bestFit="1" customWidth="1"/>
    <col min="13035" max="13035" width="57.5703125" customWidth="1"/>
    <col min="13036" max="13036" width="14.28515625" customWidth="1"/>
    <col min="13037" max="13037" width="0.85546875" customWidth="1"/>
    <col min="13038" max="13038" width="16.5703125" bestFit="1" customWidth="1"/>
    <col min="13039" max="13039" width="13.42578125" bestFit="1" customWidth="1"/>
    <col min="13286" max="13286" width="4.85546875" bestFit="1" customWidth="1"/>
    <col min="13287" max="13287" width="5.85546875" bestFit="1" customWidth="1"/>
    <col min="13288" max="13288" width="7.42578125" bestFit="1" customWidth="1"/>
    <col min="13289" max="13289" width="8.140625" bestFit="1" customWidth="1"/>
    <col min="13290" max="13290" width="4.5703125" bestFit="1" customWidth="1"/>
    <col min="13291" max="13291" width="57.5703125" customWidth="1"/>
    <col min="13292" max="13292" width="14.28515625" customWidth="1"/>
    <col min="13293" max="13293" width="0.85546875" customWidth="1"/>
    <col min="13294" max="13294" width="16.5703125" bestFit="1" customWidth="1"/>
    <col min="13295" max="13295" width="13.42578125" bestFit="1" customWidth="1"/>
    <col min="13542" max="13542" width="4.85546875" bestFit="1" customWidth="1"/>
    <col min="13543" max="13543" width="5.85546875" bestFit="1" customWidth="1"/>
    <col min="13544" max="13544" width="7.42578125" bestFit="1" customWidth="1"/>
    <col min="13545" max="13545" width="8.140625" bestFit="1" customWidth="1"/>
    <col min="13546" max="13546" width="4.5703125" bestFit="1" customWidth="1"/>
    <col min="13547" max="13547" width="57.5703125" customWidth="1"/>
    <col min="13548" max="13548" width="14.28515625" customWidth="1"/>
    <col min="13549" max="13549" width="0.85546875" customWidth="1"/>
    <col min="13550" max="13550" width="16.5703125" bestFit="1" customWidth="1"/>
    <col min="13551" max="13551" width="13.42578125" bestFit="1" customWidth="1"/>
    <col min="13798" max="13798" width="4.85546875" bestFit="1" customWidth="1"/>
    <col min="13799" max="13799" width="5.85546875" bestFit="1" customWidth="1"/>
    <col min="13800" max="13800" width="7.42578125" bestFit="1" customWidth="1"/>
    <col min="13801" max="13801" width="8.140625" bestFit="1" customWidth="1"/>
    <col min="13802" max="13802" width="4.5703125" bestFit="1" customWidth="1"/>
    <col min="13803" max="13803" width="57.5703125" customWidth="1"/>
    <col min="13804" max="13804" width="14.28515625" customWidth="1"/>
    <col min="13805" max="13805" width="0.85546875" customWidth="1"/>
    <col min="13806" max="13806" width="16.5703125" bestFit="1" customWidth="1"/>
    <col min="13807" max="13807" width="13.42578125" bestFit="1" customWidth="1"/>
    <col min="14054" max="14054" width="4.85546875" bestFit="1" customWidth="1"/>
    <col min="14055" max="14055" width="5.85546875" bestFit="1" customWidth="1"/>
    <col min="14056" max="14056" width="7.42578125" bestFit="1" customWidth="1"/>
    <col min="14057" max="14057" width="8.140625" bestFit="1" customWidth="1"/>
    <col min="14058" max="14058" width="4.5703125" bestFit="1" customWidth="1"/>
    <col min="14059" max="14059" width="57.5703125" customWidth="1"/>
    <col min="14060" max="14060" width="14.28515625" customWidth="1"/>
    <col min="14061" max="14061" width="0.85546875" customWidth="1"/>
    <col min="14062" max="14062" width="16.5703125" bestFit="1" customWidth="1"/>
    <col min="14063" max="14063" width="13.42578125" bestFit="1" customWidth="1"/>
    <col min="14310" max="14310" width="4.85546875" bestFit="1" customWidth="1"/>
    <col min="14311" max="14311" width="5.85546875" bestFit="1" customWidth="1"/>
    <col min="14312" max="14312" width="7.42578125" bestFit="1" customWidth="1"/>
    <col min="14313" max="14313" width="8.140625" bestFit="1" customWidth="1"/>
    <col min="14314" max="14314" width="4.5703125" bestFit="1" customWidth="1"/>
    <col min="14315" max="14315" width="57.5703125" customWidth="1"/>
    <col min="14316" max="14316" width="14.28515625" customWidth="1"/>
    <col min="14317" max="14317" width="0.85546875" customWidth="1"/>
    <col min="14318" max="14318" width="16.5703125" bestFit="1" customWidth="1"/>
    <col min="14319" max="14319" width="13.42578125" bestFit="1" customWidth="1"/>
    <col min="14566" max="14566" width="4.85546875" bestFit="1" customWidth="1"/>
    <col min="14567" max="14567" width="5.85546875" bestFit="1" customWidth="1"/>
    <col min="14568" max="14568" width="7.42578125" bestFit="1" customWidth="1"/>
    <col min="14569" max="14569" width="8.140625" bestFit="1" customWidth="1"/>
    <col min="14570" max="14570" width="4.5703125" bestFit="1" customWidth="1"/>
    <col min="14571" max="14571" width="57.5703125" customWidth="1"/>
    <col min="14572" max="14572" width="14.28515625" customWidth="1"/>
    <col min="14573" max="14573" width="0.85546875" customWidth="1"/>
    <col min="14574" max="14574" width="16.5703125" bestFit="1" customWidth="1"/>
    <col min="14575" max="14575" width="13.42578125" bestFit="1" customWidth="1"/>
    <col min="14822" max="14822" width="4.85546875" bestFit="1" customWidth="1"/>
    <col min="14823" max="14823" width="5.85546875" bestFit="1" customWidth="1"/>
    <col min="14824" max="14824" width="7.42578125" bestFit="1" customWidth="1"/>
    <col min="14825" max="14825" width="8.140625" bestFit="1" customWidth="1"/>
    <col min="14826" max="14826" width="4.5703125" bestFit="1" customWidth="1"/>
    <col min="14827" max="14827" width="57.5703125" customWidth="1"/>
    <col min="14828" max="14828" width="14.28515625" customWidth="1"/>
    <col min="14829" max="14829" width="0.85546875" customWidth="1"/>
    <col min="14830" max="14830" width="16.5703125" bestFit="1" customWidth="1"/>
    <col min="14831" max="14831" width="13.42578125" bestFit="1" customWidth="1"/>
    <col min="15078" max="15078" width="4.85546875" bestFit="1" customWidth="1"/>
    <col min="15079" max="15079" width="5.85546875" bestFit="1" customWidth="1"/>
    <col min="15080" max="15080" width="7.42578125" bestFit="1" customWidth="1"/>
    <col min="15081" max="15081" width="8.140625" bestFit="1" customWidth="1"/>
    <col min="15082" max="15082" width="4.5703125" bestFit="1" customWidth="1"/>
    <col min="15083" max="15083" width="57.5703125" customWidth="1"/>
    <col min="15084" max="15084" width="14.28515625" customWidth="1"/>
    <col min="15085" max="15085" width="0.85546875" customWidth="1"/>
    <col min="15086" max="15086" width="16.5703125" bestFit="1" customWidth="1"/>
    <col min="15087" max="15087" width="13.42578125" bestFit="1" customWidth="1"/>
    <col min="15334" max="15334" width="4.85546875" bestFit="1" customWidth="1"/>
    <col min="15335" max="15335" width="5.85546875" bestFit="1" customWidth="1"/>
    <col min="15336" max="15336" width="7.42578125" bestFit="1" customWidth="1"/>
    <col min="15337" max="15337" width="8.140625" bestFit="1" customWidth="1"/>
    <col min="15338" max="15338" width="4.5703125" bestFit="1" customWidth="1"/>
    <col min="15339" max="15339" width="57.5703125" customWidth="1"/>
    <col min="15340" max="15340" width="14.28515625" customWidth="1"/>
    <col min="15341" max="15341" width="0.85546875" customWidth="1"/>
    <col min="15342" max="15342" width="16.5703125" bestFit="1" customWidth="1"/>
    <col min="15343" max="15343" width="13.42578125" bestFit="1" customWidth="1"/>
    <col min="15590" max="15590" width="4.85546875" bestFit="1" customWidth="1"/>
    <col min="15591" max="15591" width="5.85546875" bestFit="1" customWidth="1"/>
    <col min="15592" max="15592" width="7.42578125" bestFit="1" customWidth="1"/>
    <col min="15593" max="15593" width="8.140625" bestFit="1" customWidth="1"/>
    <col min="15594" max="15594" width="4.5703125" bestFit="1" customWidth="1"/>
    <col min="15595" max="15595" width="57.5703125" customWidth="1"/>
    <col min="15596" max="15596" width="14.28515625" customWidth="1"/>
    <col min="15597" max="15597" width="0.85546875" customWidth="1"/>
    <col min="15598" max="15598" width="16.5703125" bestFit="1" customWidth="1"/>
    <col min="15599" max="15599" width="13.42578125" bestFit="1" customWidth="1"/>
    <col min="15846" max="15846" width="4.85546875" bestFit="1" customWidth="1"/>
    <col min="15847" max="15847" width="5.85546875" bestFit="1" customWidth="1"/>
    <col min="15848" max="15848" width="7.42578125" bestFit="1" customWidth="1"/>
    <col min="15849" max="15849" width="8.140625" bestFit="1" customWidth="1"/>
    <col min="15850" max="15850" width="4.5703125" bestFit="1" customWidth="1"/>
    <col min="15851" max="15851" width="57.5703125" customWidth="1"/>
    <col min="15852" max="15852" width="14.28515625" customWidth="1"/>
    <col min="15853" max="15853" width="0.85546875" customWidth="1"/>
    <col min="15854" max="15854" width="16.5703125" bestFit="1" customWidth="1"/>
    <col min="15855" max="15855" width="13.42578125" bestFit="1" customWidth="1"/>
    <col min="16102" max="16102" width="4.85546875" bestFit="1" customWidth="1"/>
    <col min="16103" max="16103" width="5.85546875" bestFit="1" customWidth="1"/>
    <col min="16104" max="16104" width="7.42578125" bestFit="1" customWidth="1"/>
    <col min="16105" max="16105" width="8.140625" bestFit="1" customWidth="1"/>
    <col min="16106" max="16106" width="4.5703125" bestFit="1" customWidth="1"/>
    <col min="16107" max="16107" width="57.5703125" customWidth="1"/>
    <col min="16108" max="16108" width="14.28515625" customWidth="1"/>
    <col min="16109" max="16109" width="0.85546875" customWidth="1"/>
    <col min="16110" max="16110" width="16.5703125" bestFit="1" customWidth="1"/>
    <col min="16111" max="16111" width="13.42578125" bestFit="1" customWidth="1"/>
  </cols>
  <sheetData>
    <row r="1" spans="1:17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17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17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17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17" s="174" customFormat="1" ht="20.25" x14ac:dyDescent="0.3">
      <c r="A5" s="269" t="str">
        <f>'[1]Estado de flujo de Efectivo'!A1:B1</f>
        <v>Consejo Económico y Social -CES-</v>
      </c>
      <c r="B5" s="269"/>
      <c r="C5" s="269"/>
      <c r="D5" s="269"/>
      <c r="E5" s="269"/>
      <c r="F5" s="269"/>
      <c r="G5" s="269"/>
      <c r="H5" s="269"/>
      <c r="I5" s="33"/>
    </row>
    <row r="6" spans="1:17" s="174" customFormat="1" ht="20.25" x14ac:dyDescent="0.3">
      <c r="A6" s="269" t="s">
        <v>140</v>
      </c>
      <c r="B6" s="269"/>
      <c r="C6" s="269"/>
      <c r="D6" s="269"/>
      <c r="E6" s="269"/>
      <c r="F6" s="269"/>
      <c r="G6" s="269"/>
      <c r="H6" s="269"/>
      <c r="I6" s="33"/>
    </row>
    <row r="7" spans="1:17" s="174" customFormat="1" ht="20.25" x14ac:dyDescent="0.3">
      <c r="A7" s="269" t="s">
        <v>0</v>
      </c>
      <c r="B7" s="269"/>
      <c r="C7" s="269"/>
      <c r="D7" s="269"/>
      <c r="E7" s="269"/>
      <c r="F7" s="269"/>
      <c r="G7" s="269"/>
      <c r="H7" s="269"/>
      <c r="I7" s="33"/>
    </row>
    <row r="8" spans="1:17" s="174" customFormat="1" ht="16.5" thickBot="1" x14ac:dyDescent="0.3">
      <c r="A8" s="141"/>
      <c r="B8" s="141"/>
      <c r="C8" s="141"/>
      <c r="D8" s="141"/>
      <c r="E8" s="141"/>
      <c r="F8" s="69"/>
      <c r="G8" s="69"/>
      <c r="H8" s="70"/>
      <c r="I8" s="33"/>
    </row>
    <row r="9" spans="1:17" ht="48" thickBot="1" x14ac:dyDescent="0.3">
      <c r="A9" s="71"/>
      <c r="B9" s="71"/>
      <c r="C9" s="72"/>
      <c r="D9" s="72"/>
      <c r="E9" s="73"/>
      <c r="F9" s="77"/>
      <c r="G9" s="78" t="s">
        <v>126</v>
      </c>
      <c r="H9" s="79" t="s">
        <v>127</v>
      </c>
      <c r="I9" s="2" t="s">
        <v>3</v>
      </c>
      <c r="J9" s="79" t="s">
        <v>130</v>
      </c>
      <c r="K9" s="79" t="s">
        <v>132</v>
      </c>
      <c r="L9" s="79" t="s">
        <v>135</v>
      </c>
      <c r="M9" s="79" t="s">
        <v>137</v>
      </c>
      <c r="N9" s="79" t="s">
        <v>139</v>
      </c>
      <c r="O9" s="79" t="s">
        <v>141</v>
      </c>
      <c r="P9" s="175" t="s">
        <v>128</v>
      </c>
      <c r="Q9" s="198" t="s">
        <v>3</v>
      </c>
    </row>
    <row r="10" spans="1:17" ht="48" thickBot="1" x14ac:dyDescent="0.3">
      <c r="A10" s="80" t="s">
        <v>4</v>
      </c>
      <c r="B10" s="78" t="s">
        <v>5</v>
      </c>
      <c r="C10" s="81" t="s">
        <v>6</v>
      </c>
      <c r="D10" s="78" t="s">
        <v>7</v>
      </c>
      <c r="E10" s="78" t="s">
        <v>8</v>
      </c>
      <c r="F10" s="71" t="s">
        <v>9</v>
      </c>
      <c r="G10" s="82" t="s">
        <v>10</v>
      </c>
      <c r="H10" s="83" t="s">
        <v>10</v>
      </c>
      <c r="I10" s="3" t="s">
        <v>10</v>
      </c>
      <c r="J10" s="83" t="s">
        <v>10</v>
      </c>
      <c r="K10" s="83" t="s">
        <v>10</v>
      </c>
      <c r="L10" s="83" t="s">
        <v>10</v>
      </c>
      <c r="M10" s="83" t="s">
        <v>10</v>
      </c>
      <c r="N10" s="83" t="s">
        <v>10</v>
      </c>
      <c r="O10" s="83" t="s">
        <v>10</v>
      </c>
      <c r="P10" s="83" t="s">
        <v>10</v>
      </c>
      <c r="Q10" s="199" t="s">
        <v>10</v>
      </c>
    </row>
    <row r="11" spans="1:17" ht="15.75" x14ac:dyDescent="0.25">
      <c r="A11" s="84"/>
      <c r="B11" s="85"/>
      <c r="C11" s="86"/>
      <c r="D11" s="87"/>
      <c r="E11" s="88"/>
      <c r="F11" s="89"/>
      <c r="G11" s="90"/>
      <c r="H11" s="91"/>
      <c r="I11" s="4"/>
      <c r="J11" s="91"/>
      <c r="K11" s="91"/>
      <c r="L11" s="91"/>
      <c r="M11" s="91"/>
      <c r="N11" s="91"/>
      <c r="O11" s="91"/>
      <c r="P11" s="91"/>
      <c r="Q11" s="200"/>
    </row>
    <row r="12" spans="1:17" ht="16.5" thickBot="1" x14ac:dyDescent="0.3">
      <c r="A12" s="85">
        <v>2</v>
      </c>
      <c r="B12" s="85">
        <v>1</v>
      </c>
      <c r="C12" s="92"/>
      <c r="D12" s="85"/>
      <c r="E12" s="93"/>
      <c r="F12" s="94" t="s">
        <v>11</v>
      </c>
      <c r="G12" s="95">
        <f>G13+G31+G38+G43-1</f>
        <v>23002832</v>
      </c>
      <c r="H12" s="165">
        <f>H13+H31+H38+H43</f>
        <v>1661145.73</v>
      </c>
      <c r="I12" s="5" t="e">
        <f t="shared" ref="I12:Q12" si="0">I13+I31+I38+I43</f>
        <v>#REF!</v>
      </c>
      <c r="J12" s="165">
        <f t="shared" si="0"/>
        <v>1673803.74</v>
      </c>
      <c r="K12" s="165">
        <f t="shared" si="0"/>
        <v>1673803.74</v>
      </c>
      <c r="L12" s="165">
        <f t="shared" si="0"/>
        <v>1667742.0209999999</v>
      </c>
      <c r="M12" s="165">
        <f t="shared" si="0"/>
        <v>1673803.74</v>
      </c>
      <c r="N12" s="165">
        <f t="shared" si="0"/>
        <v>1716335.74</v>
      </c>
      <c r="O12" s="165">
        <f t="shared" si="0"/>
        <v>1673803.74</v>
      </c>
      <c r="P12" s="165">
        <f t="shared" si="0"/>
        <v>11740438.450999999</v>
      </c>
      <c r="Q12" s="201">
        <f t="shared" si="0"/>
        <v>11262394.549000001</v>
      </c>
    </row>
    <row r="13" spans="1:17" ht="16.5" thickBot="1" x14ac:dyDescent="0.3">
      <c r="A13" s="85">
        <v>2</v>
      </c>
      <c r="B13" s="85">
        <v>1</v>
      </c>
      <c r="C13" s="92">
        <v>1</v>
      </c>
      <c r="D13" s="85"/>
      <c r="E13" s="93"/>
      <c r="F13" s="94" t="s">
        <v>12</v>
      </c>
      <c r="G13" s="96">
        <f>G14+G17+G22+G25</f>
        <v>19031957</v>
      </c>
      <c r="H13" s="96">
        <f>H14+H17+H22+H25</f>
        <v>1454830</v>
      </c>
      <c r="I13" s="6" t="e">
        <f t="shared" ref="I13:Q13" si="1">I14+I17+I22+I25</f>
        <v>#REF!</v>
      </c>
      <c r="J13" s="96">
        <f t="shared" si="1"/>
        <v>1464830</v>
      </c>
      <c r="K13" s="96">
        <f t="shared" si="1"/>
        <v>1464830</v>
      </c>
      <c r="L13" s="96">
        <f t="shared" si="1"/>
        <v>1464830</v>
      </c>
      <c r="M13" s="96">
        <f t="shared" si="1"/>
        <v>1464830</v>
      </c>
      <c r="N13" s="96">
        <f t="shared" si="1"/>
        <v>1507362</v>
      </c>
      <c r="O13" s="96">
        <f t="shared" si="1"/>
        <v>1464830</v>
      </c>
      <c r="P13" s="96">
        <f t="shared" si="1"/>
        <v>10286342</v>
      </c>
      <c r="Q13" s="202">
        <f t="shared" si="1"/>
        <v>8745615</v>
      </c>
    </row>
    <row r="14" spans="1:17" ht="16.5" thickBot="1" x14ac:dyDescent="0.3">
      <c r="A14" s="85">
        <v>2</v>
      </c>
      <c r="B14" s="85">
        <v>1</v>
      </c>
      <c r="C14" s="92">
        <v>1</v>
      </c>
      <c r="D14" s="85">
        <v>1</v>
      </c>
      <c r="E14" s="93"/>
      <c r="F14" s="94" t="s">
        <v>13</v>
      </c>
      <c r="G14" s="97">
        <f>G15</f>
        <v>6300000</v>
      </c>
      <c r="H14" s="98">
        <f>H15</f>
        <v>525000</v>
      </c>
      <c r="I14" s="7" t="e">
        <f t="shared" ref="I14:Q14" si="2">I15</f>
        <v>#REF!</v>
      </c>
      <c r="J14" s="98">
        <f t="shared" si="2"/>
        <v>525000</v>
      </c>
      <c r="K14" s="98">
        <f t="shared" si="2"/>
        <v>525000</v>
      </c>
      <c r="L14" s="98">
        <f t="shared" si="2"/>
        <v>525000</v>
      </c>
      <c r="M14" s="98">
        <f t="shared" si="2"/>
        <v>525000</v>
      </c>
      <c r="N14" s="98">
        <f t="shared" si="2"/>
        <v>525000</v>
      </c>
      <c r="O14" s="98">
        <f t="shared" si="2"/>
        <v>525000</v>
      </c>
      <c r="P14" s="98">
        <f t="shared" si="2"/>
        <v>3675000</v>
      </c>
      <c r="Q14" s="203">
        <f t="shared" si="2"/>
        <v>2625000</v>
      </c>
    </row>
    <row r="15" spans="1:17" ht="15.75" x14ac:dyDescent="0.25">
      <c r="A15" s="85">
        <v>2</v>
      </c>
      <c r="B15" s="85">
        <v>1</v>
      </c>
      <c r="C15" s="92">
        <v>1</v>
      </c>
      <c r="D15" s="85">
        <v>1</v>
      </c>
      <c r="E15" s="85">
        <v>1</v>
      </c>
      <c r="F15" s="99" t="s">
        <v>14</v>
      </c>
      <c r="G15" s="100">
        <v>6300000</v>
      </c>
      <c r="H15" s="101">
        <f>225000+300000</f>
        <v>525000</v>
      </c>
      <c r="I15" s="8" t="e">
        <f>+G15-#REF!</f>
        <v>#REF!</v>
      </c>
      <c r="J15" s="101">
        <f t="shared" ref="J15:O15" si="3">225000+300000</f>
        <v>525000</v>
      </c>
      <c r="K15" s="101">
        <f t="shared" si="3"/>
        <v>525000</v>
      </c>
      <c r="L15" s="101">
        <f t="shared" si="3"/>
        <v>525000</v>
      </c>
      <c r="M15" s="101">
        <f t="shared" si="3"/>
        <v>525000</v>
      </c>
      <c r="N15" s="101">
        <f t="shared" si="3"/>
        <v>525000</v>
      </c>
      <c r="O15" s="101">
        <f t="shared" si="3"/>
        <v>525000</v>
      </c>
      <c r="P15" s="101">
        <f>+H15+J15+K15+L15+M15+N15+O15</f>
        <v>3675000</v>
      </c>
      <c r="Q15" s="204">
        <f>+G15-P15</f>
        <v>2625000</v>
      </c>
    </row>
    <row r="16" spans="1:17" ht="15.75" x14ac:dyDescent="0.25">
      <c r="A16" s="85"/>
      <c r="B16" s="85"/>
      <c r="C16" s="92"/>
      <c r="D16" s="85"/>
      <c r="E16" s="84"/>
      <c r="F16" s="99"/>
      <c r="G16" s="102"/>
      <c r="H16" s="103"/>
      <c r="I16" s="9"/>
      <c r="J16" s="103"/>
      <c r="K16" s="103"/>
      <c r="L16" s="103"/>
      <c r="M16" s="103"/>
      <c r="N16" s="103"/>
      <c r="O16" s="103"/>
      <c r="P16" s="103"/>
      <c r="Q16" s="205"/>
    </row>
    <row r="17" spans="1:17" ht="32.25" thickBot="1" x14ac:dyDescent="0.3">
      <c r="A17" s="85">
        <v>2</v>
      </c>
      <c r="B17" s="85">
        <v>1</v>
      </c>
      <c r="C17" s="92">
        <v>1</v>
      </c>
      <c r="D17" s="85">
        <v>2</v>
      </c>
      <c r="E17" s="93"/>
      <c r="F17" s="104" t="s">
        <v>15</v>
      </c>
      <c r="G17" s="95">
        <f>G18</f>
        <v>11267960</v>
      </c>
      <c r="H17" s="105">
        <f>SUM(H18:H20)</f>
        <v>929830</v>
      </c>
      <c r="I17" s="10" t="e">
        <f>SUM(I18:I20)</f>
        <v>#REF!</v>
      </c>
      <c r="J17" s="105">
        <f>SUM(J18:J20)</f>
        <v>939830</v>
      </c>
      <c r="K17" s="105">
        <f>SUM(K18:K20)</f>
        <v>939830</v>
      </c>
      <c r="L17" s="105">
        <f t="shared" ref="L17:Q17" si="4">SUM(L18:L20)</f>
        <v>939830</v>
      </c>
      <c r="M17" s="105">
        <f t="shared" si="4"/>
        <v>939830</v>
      </c>
      <c r="N17" s="105">
        <f t="shared" si="4"/>
        <v>939830</v>
      </c>
      <c r="O17" s="105">
        <f t="shared" si="4"/>
        <v>939830</v>
      </c>
      <c r="P17" s="105">
        <f t="shared" si="4"/>
        <v>6568810</v>
      </c>
      <c r="Q17" s="206">
        <f t="shared" si="4"/>
        <v>4699150</v>
      </c>
    </row>
    <row r="18" spans="1:17" ht="31.5" x14ac:dyDescent="0.25">
      <c r="A18" s="85">
        <v>2</v>
      </c>
      <c r="B18" s="85">
        <v>1</v>
      </c>
      <c r="C18" s="92">
        <v>1</v>
      </c>
      <c r="D18" s="85">
        <v>2</v>
      </c>
      <c r="E18" s="85">
        <v>1</v>
      </c>
      <c r="F18" s="106" t="s">
        <v>16</v>
      </c>
      <c r="G18" s="107">
        <v>11267960</v>
      </c>
      <c r="H18" s="103">
        <f>51400+75378+60885+73500+48920+80500+93500+73500+122117+110065+85065</f>
        <v>874830</v>
      </c>
      <c r="I18" s="9" t="e">
        <f>+G18-#REF!</f>
        <v>#REF!</v>
      </c>
      <c r="J18" s="103">
        <f t="shared" ref="J18:O18" si="5">51400+75378+60885+73500+48920+80500+93500+73500+122117+110065+85065+65000</f>
        <v>939830</v>
      </c>
      <c r="K18" s="103">
        <f t="shared" si="5"/>
        <v>939830</v>
      </c>
      <c r="L18" s="103">
        <f t="shared" si="5"/>
        <v>939830</v>
      </c>
      <c r="M18" s="103">
        <f t="shared" si="5"/>
        <v>939830</v>
      </c>
      <c r="N18" s="103">
        <f t="shared" si="5"/>
        <v>939830</v>
      </c>
      <c r="O18" s="103">
        <f t="shared" si="5"/>
        <v>939830</v>
      </c>
      <c r="P18" s="103">
        <f>+H18+J18+K18+L18+M18+N18+O18</f>
        <v>6513810</v>
      </c>
      <c r="Q18" s="205">
        <f>+G18-P18</f>
        <v>4754150</v>
      </c>
    </row>
    <row r="19" spans="1:17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2</v>
      </c>
      <c r="F19" s="106" t="s">
        <v>17</v>
      </c>
      <c r="G19" s="102"/>
      <c r="H19" s="103"/>
      <c r="I19" s="9"/>
      <c r="J19" s="103"/>
      <c r="K19" s="103"/>
      <c r="L19" s="103"/>
      <c r="M19" s="103"/>
      <c r="N19" s="103"/>
      <c r="O19" s="103"/>
      <c r="P19" s="103">
        <f>+H19+J19+K19+L19+M19+N19+O19</f>
        <v>0</v>
      </c>
      <c r="Q19" s="205"/>
    </row>
    <row r="20" spans="1:17" ht="31.5" x14ac:dyDescent="0.25">
      <c r="A20" s="85">
        <v>2</v>
      </c>
      <c r="B20" s="85">
        <v>1</v>
      </c>
      <c r="C20" s="92">
        <v>1</v>
      </c>
      <c r="D20" s="85">
        <v>2</v>
      </c>
      <c r="E20" s="85">
        <v>5</v>
      </c>
      <c r="F20" s="106" t="s">
        <v>18</v>
      </c>
      <c r="G20" s="108"/>
      <c r="H20" s="110">
        <v>55000</v>
      </c>
      <c r="I20" s="12" t="e">
        <f>+G20-#REF!</f>
        <v>#REF!</v>
      </c>
      <c r="J20" s="110"/>
      <c r="K20" s="110"/>
      <c r="L20" s="110"/>
      <c r="M20" s="110"/>
      <c r="N20" s="110"/>
      <c r="O20" s="110"/>
      <c r="P20" s="103">
        <f>+H20+J20+K20+L20+M20+N20+O20</f>
        <v>55000</v>
      </c>
      <c r="Q20" s="207">
        <f>G20-P20</f>
        <v>-55000</v>
      </c>
    </row>
    <row r="21" spans="1:17" ht="15.75" x14ac:dyDescent="0.25">
      <c r="A21" s="85"/>
      <c r="B21" s="85"/>
      <c r="C21" s="92"/>
      <c r="D21" s="85"/>
      <c r="E21" s="85"/>
      <c r="F21" s="106"/>
      <c r="G21" s="108"/>
      <c r="H21" s="110" t="s">
        <v>19</v>
      </c>
      <c r="I21" s="12"/>
      <c r="J21" s="110" t="s">
        <v>19</v>
      </c>
      <c r="K21" s="110"/>
      <c r="L21" s="110"/>
      <c r="M21" s="110"/>
      <c r="N21" s="110"/>
      <c r="O21" s="110"/>
      <c r="P21" s="110" t="s">
        <v>19</v>
      </c>
      <c r="Q21" s="207"/>
    </row>
    <row r="22" spans="1:17" ht="16.5" thickBot="1" x14ac:dyDescent="0.3">
      <c r="A22" s="85">
        <v>2</v>
      </c>
      <c r="B22" s="85">
        <v>1</v>
      </c>
      <c r="C22" s="92">
        <v>1</v>
      </c>
      <c r="D22" s="85">
        <v>4</v>
      </c>
      <c r="E22" s="93"/>
      <c r="F22" s="104" t="s">
        <v>20</v>
      </c>
      <c r="G22" s="95">
        <f t="shared" ref="G22:Q22" si="6">G23</f>
        <v>1463997</v>
      </c>
      <c r="H22" s="96">
        <f t="shared" si="6"/>
        <v>0</v>
      </c>
      <c r="I22" s="6" t="e">
        <f t="shared" si="6"/>
        <v>#REF!</v>
      </c>
      <c r="J22" s="96">
        <f t="shared" si="6"/>
        <v>0</v>
      </c>
      <c r="K22" s="96">
        <f t="shared" si="6"/>
        <v>0</v>
      </c>
      <c r="L22" s="96">
        <f t="shared" si="6"/>
        <v>0</v>
      </c>
      <c r="M22" s="96">
        <f t="shared" si="6"/>
        <v>0</v>
      </c>
      <c r="N22" s="105">
        <f t="shared" si="6"/>
        <v>42532</v>
      </c>
      <c r="O22" s="105">
        <f t="shared" si="6"/>
        <v>0</v>
      </c>
      <c r="P22" s="118">
        <f t="shared" si="6"/>
        <v>42532</v>
      </c>
      <c r="Q22" s="202">
        <f t="shared" si="6"/>
        <v>1421465</v>
      </c>
    </row>
    <row r="23" spans="1:17" ht="15.75" x14ac:dyDescent="0.25">
      <c r="A23" s="85">
        <v>2</v>
      </c>
      <c r="B23" s="85">
        <v>1</v>
      </c>
      <c r="C23" s="92">
        <v>1</v>
      </c>
      <c r="D23" s="85">
        <v>4</v>
      </c>
      <c r="E23" s="85">
        <v>1</v>
      </c>
      <c r="F23" s="106" t="s">
        <v>21</v>
      </c>
      <c r="G23" s="107">
        <v>1463997</v>
      </c>
      <c r="H23" s="109">
        <v>0</v>
      </c>
      <c r="I23" s="13" t="e">
        <f>+G23-#REF!</f>
        <v>#REF!</v>
      </c>
      <c r="J23" s="109">
        <v>0</v>
      </c>
      <c r="K23" s="109"/>
      <c r="L23" s="109"/>
      <c r="M23" s="109"/>
      <c r="N23" s="110">
        <v>42532</v>
      </c>
      <c r="O23" s="110"/>
      <c r="P23" s="103">
        <f>+H23+J23+K23+L23+M23+N23+O23</f>
        <v>42532</v>
      </c>
      <c r="Q23" s="208">
        <f>G23-P23</f>
        <v>1421465</v>
      </c>
    </row>
    <row r="24" spans="1:17" ht="15.75" x14ac:dyDescent="0.25">
      <c r="A24" s="85"/>
      <c r="B24" s="85"/>
      <c r="C24" s="92"/>
      <c r="D24" s="85"/>
      <c r="E24" s="85"/>
      <c r="F24" s="106"/>
      <c r="G24" s="108"/>
      <c r="H24" s="110"/>
      <c r="I24" s="12"/>
      <c r="J24" s="110"/>
      <c r="K24" s="110"/>
      <c r="L24" s="110"/>
      <c r="M24" s="110"/>
      <c r="N24" s="110"/>
      <c r="O24" s="110" t="s">
        <v>142</v>
      </c>
      <c r="P24" s="110"/>
      <c r="Q24" s="207"/>
    </row>
    <row r="25" spans="1:17" ht="16.5" thickBot="1" x14ac:dyDescent="0.3">
      <c r="A25" s="85">
        <v>2</v>
      </c>
      <c r="B25" s="85">
        <v>1</v>
      </c>
      <c r="C25" s="92">
        <v>1</v>
      </c>
      <c r="D25" s="85">
        <v>5</v>
      </c>
      <c r="E25" s="93"/>
      <c r="F25" s="104" t="s">
        <v>22</v>
      </c>
      <c r="G25" s="111">
        <f>G26+G29</f>
        <v>0</v>
      </c>
      <c r="H25" s="105">
        <f t="shared" ref="H25:Q25" si="7">H26+H27+H28+H29</f>
        <v>0</v>
      </c>
      <c r="I25" s="10">
        <f t="shared" si="7"/>
        <v>0</v>
      </c>
      <c r="J25" s="105">
        <f t="shared" si="7"/>
        <v>0</v>
      </c>
      <c r="K25" s="105">
        <f t="shared" si="7"/>
        <v>0</v>
      </c>
      <c r="L25" s="105">
        <f t="shared" si="7"/>
        <v>0</v>
      </c>
      <c r="M25" s="105">
        <f t="shared" si="7"/>
        <v>0</v>
      </c>
      <c r="N25" s="105">
        <f t="shared" si="7"/>
        <v>0</v>
      </c>
      <c r="O25" s="105">
        <f t="shared" si="7"/>
        <v>0</v>
      </c>
      <c r="P25" s="105">
        <f t="shared" si="7"/>
        <v>0</v>
      </c>
      <c r="Q25" s="206">
        <f t="shared" si="7"/>
        <v>0</v>
      </c>
    </row>
    <row r="26" spans="1:17" ht="15.75" x14ac:dyDescent="0.25">
      <c r="A26" s="85">
        <v>2</v>
      </c>
      <c r="B26" s="85">
        <v>1</v>
      </c>
      <c r="C26" s="92">
        <v>1</v>
      </c>
      <c r="D26" s="85">
        <v>5</v>
      </c>
      <c r="E26" s="85">
        <v>1</v>
      </c>
      <c r="F26" s="106" t="s">
        <v>22</v>
      </c>
      <c r="G26" s="108"/>
      <c r="H26" s="110">
        <v>0</v>
      </c>
      <c r="I26" s="12">
        <v>0</v>
      </c>
      <c r="J26" s="110">
        <v>0</v>
      </c>
      <c r="K26" s="110"/>
      <c r="L26" s="110"/>
      <c r="M26" s="110"/>
      <c r="N26" s="110"/>
      <c r="O26" s="110"/>
      <c r="P26" s="103">
        <f>+H26+J26+K26+L26+M26+N26+O26</f>
        <v>0</v>
      </c>
      <c r="Q26" s="207">
        <v>0</v>
      </c>
    </row>
    <row r="27" spans="1:17" ht="31.5" x14ac:dyDescent="0.25">
      <c r="A27" s="85">
        <v>2</v>
      </c>
      <c r="B27" s="85">
        <v>1</v>
      </c>
      <c r="C27" s="92">
        <v>1</v>
      </c>
      <c r="D27" s="85">
        <v>5</v>
      </c>
      <c r="E27" s="85">
        <v>2</v>
      </c>
      <c r="F27" s="106" t="s">
        <v>23</v>
      </c>
      <c r="G27" s="108"/>
      <c r="H27" s="110">
        <v>0</v>
      </c>
      <c r="I27" s="12">
        <v>0</v>
      </c>
      <c r="J27" s="110">
        <v>0</v>
      </c>
      <c r="K27" s="110"/>
      <c r="L27" s="110"/>
      <c r="M27" s="110"/>
      <c r="N27" s="110"/>
      <c r="O27" s="110"/>
      <c r="P27" s="103">
        <f>+H27+J27+K27+L27+M27+N27+O27</f>
        <v>0</v>
      </c>
      <c r="Q27" s="207">
        <v>0</v>
      </c>
    </row>
    <row r="28" spans="1:17" ht="31.5" x14ac:dyDescent="0.25">
      <c r="A28" s="85">
        <v>2</v>
      </c>
      <c r="B28" s="85">
        <v>1</v>
      </c>
      <c r="C28" s="92">
        <v>1</v>
      </c>
      <c r="D28" s="85">
        <v>5</v>
      </c>
      <c r="E28" s="85">
        <v>3</v>
      </c>
      <c r="F28" s="106" t="s">
        <v>24</v>
      </c>
      <c r="G28" s="108"/>
      <c r="H28" s="110">
        <v>0</v>
      </c>
      <c r="I28" s="12">
        <v>0</v>
      </c>
      <c r="J28" s="110">
        <v>0</v>
      </c>
      <c r="K28" s="110"/>
      <c r="L28" s="110"/>
      <c r="M28" s="110"/>
      <c r="N28" s="110"/>
      <c r="O28" s="110"/>
      <c r="P28" s="103">
        <f>+H28+J28+K28+L28+M28+N28+O28</f>
        <v>0</v>
      </c>
      <c r="Q28" s="207">
        <v>0</v>
      </c>
    </row>
    <row r="29" spans="1:17" ht="31.5" x14ac:dyDescent="0.25">
      <c r="A29" s="85">
        <v>2</v>
      </c>
      <c r="B29" s="85">
        <v>1</v>
      </c>
      <c r="C29" s="92">
        <v>1</v>
      </c>
      <c r="D29" s="85">
        <v>5</v>
      </c>
      <c r="E29" s="85">
        <v>4</v>
      </c>
      <c r="F29" s="106" t="s">
        <v>25</v>
      </c>
      <c r="G29" s="108"/>
      <c r="H29" s="110"/>
      <c r="I29" s="12"/>
      <c r="J29" s="110"/>
      <c r="K29" s="110"/>
      <c r="L29" s="110"/>
      <c r="M29" s="110"/>
      <c r="N29" s="110"/>
      <c r="O29" s="110"/>
      <c r="P29" s="110"/>
      <c r="Q29" s="207"/>
    </row>
    <row r="30" spans="1:17" ht="16.5" thickBot="1" x14ac:dyDescent="0.3">
      <c r="A30" s="85"/>
      <c r="B30" s="85"/>
      <c r="C30" s="92"/>
      <c r="D30" s="85"/>
      <c r="E30" s="85"/>
      <c r="F30" s="106"/>
      <c r="G30" s="108"/>
      <c r="H30" s="110"/>
      <c r="I30" s="12"/>
      <c r="J30" s="110"/>
      <c r="K30" s="110"/>
      <c r="L30" s="110"/>
      <c r="M30" s="110"/>
      <c r="N30" s="110"/>
      <c r="O30" s="110"/>
      <c r="P30" s="110"/>
      <c r="Q30" s="207"/>
    </row>
    <row r="31" spans="1:17" ht="16.5" thickBot="1" x14ac:dyDescent="0.3">
      <c r="A31" s="85">
        <v>2</v>
      </c>
      <c r="B31" s="85">
        <v>1</v>
      </c>
      <c r="C31" s="92">
        <v>2</v>
      </c>
      <c r="D31" s="85"/>
      <c r="E31" s="85"/>
      <c r="F31" s="104" t="s">
        <v>26</v>
      </c>
      <c r="G31" s="112">
        <f t="shared" ref="G31:Q31" si="8">G32</f>
        <v>1463997</v>
      </c>
      <c r="H31" s="113">
        <f t="shared" si="8"/>
        <v>0</v>
      </c>
      <c r="I31" s="14" t="e">
        <f t="shared" si="8"/>
        <v>#REF!</v>
      </c>
      <c r="J31" s="113">
        <f t="shared" si="8"/>
        <v>0</v>
      </c>
      <c r="K31" s="113">
        <f t="shared" si="8"/>
        <v>0</v>
      </c>
      <c r="L31" s="113">
        <f t="shared" si="8"/>
        <v>0</v>
      </c>
      <c r="M31" s="113">
        <f>M32</f>
        <v>0</v>
      </c>
      <c r="N31" s="113">
        <f t="shared" si="8"/>
        <v>0</v>
      </c>
      <c r="O31" s="113">
        <f t="shared" si="8"/>
        <v>0</v>
      </c>
      <c r="P31" s="113">
        <f t="shared" si="8"/>
        <v>0</v>
      </c>
      <c r="Q31" s="209">
        <f t="shared" si="8"/>
        <v>1463997</v>
      </c>
    </row>
    <row r="32" spans="1:17" ht="16.5" thickBot="1" x14ac:dyDescent="0.3">
      <c r="A32" s="85">
        <v>2</v>
      </c>
      <c r="B32" s="85">
        <v>1</v>
      </c>
      <c r="C32" s="85">
        <v>2</v>
      </c>
      <c r="D32" s="85">
        <v>2</v>
      </c>
      <c r="E32" s="85"/>
      <c r="F32" s="104" t="s">
        <v>27</v>
      </c>
      <c r="G32" s="95">
        <f>G33+G34+G35</f>
        <v>1463997</v>
      </c>
      <c r="H32" s="113">
        <f t="shared" ref="H32:Q32" si="9">H35</f>
        <v>0</v>
      </c>
      <c r="I32" s="15" t="e">
        <f t="shared" si="9"/>
        <v>#REF!</v>
      </c>
      <c r="J32" s="113">
        <f t="shared" si="9"/>
        <v>0</v>
      </c>
      <c r="K32" s="113">
        <f t="shared" si="9"/>
        <v>0</v>
      </c>
      <c r="L32" s="113">
        <f t="shared" si="9"/>
        <v>0</v>
      </c>
      <c r="M32" s="113">
        <f>M35</f>
        <v>0</v>
      </c>
      <c r="N32" s="113">
        <f>N35</f>
        <v>0</v>
      </c>
      <c r="O32" s="113">
        <f>O35</f>
        <v>0</v>
      </c>
      <c r="P32" s="113">
        <f t="shared" si="9"/>
        <v>0</v>
      </c>
      <c r="Q32" s="209">
        <f t="shared" si="9"/>
        <v>1463997</v>
      </c>
    </row>
    <row r="33" spans="1:17" ht="31.5" x14ac:dyDescent="0.25">
      <c r="A33" s="85">
        <v>2</v>
      </c>
      <c r="B33" s="85">
        <v>1</v>
      </c>
      <c r="C33" s="85">
        <v>2</v>
      </c>
      <c r="D33" s="85">
        <v>2</v>
      </c>
      <c r="E33" s="85">
        <v>2</v>
      </c>
      <c r="F33" s="104" t="s">
        <v>28</v>
      </c>
      <c r="G33" s="114"/>
      <c r="H33" s="96">
        <v>0</v>
      </c>
      <c r="I33" s="6">
        <v>0</v>
      </c>
      <c r="J33" s="96">
        <v>0</v>
      </c>
      <c r="K33" s="96">
        <v>0</v>
      </c>
      <c r="L33" s="96"/>
      <c r="M33" s="96"/>
      <c r="N33" s="96"/>
      <c r="O33" s="96"/>
      <c r="P33" s="103">
        <f>+H33+J33+K33+L33+M33+N33+O33</f>
        <v>0</v>
      </c>
      <c r="Q33" s="202">
        <v>0</v>
      </c>
    </row>
    <row r="34" spans="1:17" ht="15.75" x14ac:dyDescent="0.25">
      <c r="A34" s="85">
        <v>2</v>
      </c>
      <c r="B34" s="85">
        <v>1</v>
      </c>
      <c r="C34" s="85">
        <v>2</v>
      </c>
      <c r="D34" s="85">
        <v>2</v>
      </c>
      <c r="E34" s="85">
        <v>4</v>
      </c>
      <c r="F34" s="106" t="s">
        <v>29</v>
      </c>
      <c r="G34" s="108">
        <v>0</v>
      </c>
      <c r="H34" s="110">
        <v>0</v>
      </c>
      <c r="I34" s="110">
        <v>0</v>
      </c>
      <c r="J34" s="110">
        <v>0</v>
      </c>
      <c r="K34" s="110">
        <v>0</v>
      </c>
      <c r="L34" s="110"/>
      <c r="M34" s="110"/>
      <c r="N34" s="110"/>
      <c r="O34" s="110"/>
      <c r="P34" s="103">
        <f>+H34+J34+K34+L34+M34+N34+O34</f>
        <v>0</v>
      </c>
      <c r="Q34" s="207">
        <v>0</v>
      </c>
    </row>
    <row r="35" spans="1:17" ht="15.75" x14ac:dyDescent="0.25">
      <c r="A35" s="85">
        <v>2</v>
      </c>
      <c r="B35" s="85">
        <v>1</v>
      </c>
      <c r="C35" s="85">
        <v>2</v>
      </c>
      <c r="D35" s="85">
        <v>2</v>
      </c>
      <c r="E35" s="85">
        <v>15</v>
      </c>
      <c r="F35" s="106" t="s">
        <v>30</v>
      </c>
      <c r="G35" s="108">
        <v>1463997</v>
      </c>
      <c r="H35" s="110"/>
      <c r="I35" s="12" t="e">
        <f>+G35-#REF!</f>
        <v>#REF!</v>
      </c>
      <c r="J35" s="110"/>
      <c r="K35" s="110"/>
      <c r="L35" s="110"/>
      <c r="M35" s="110"/>
      <c r="N35" s="110"/>
      <c r="O35" s="110"/>
      <c r="P35" s="103">
        <f>+H35+J35+K35+L35+M35+N35+O35</f>
        <v>0</v>
      </c>
      <c r="Q35" s="207">
        <f>G35-P35</f>
        <v>1463997</v>
      </c>
    </row>
    <row r="36" spans="1:17" ht="15.75" x14ac:dyDescent="0.25">
      <c r="A36" s="85"/>
      <c r="B36" s="85"/>
      <c r="C36" s="92"/>
      <c r="D36" s="85"/>
      <c r="E36" s="85"/>
      <c r="F36" s="106"/>
      <c r="G36" s="108"/>
      <c r="H36" s="110"/>
      <c r="I36" s="12"/>
      <c r="J36" s="110"/>
      <c r="K36" s="110"/>
      <c r="L36" s="110"/>
      <c r="M36" s="110"/>
      <c r="N36" s="110"/>
      <c r="O36" s="110"/>
      <c r="P36" s="110"/>
      <c r="Q36" s="207"/>
    </row>
    <row r="37" spans="1:17" ht="15.75" x14ac:dyDescent="0.25">
      <c r="A37" s="85"/>
      <c r="B37" s="85"/>
      <c r="C37" s="92"/>
      <c r="D37" s="85"/>
      <c r="E37" s="85"/>
      <c r="F37" s="106"/>
      <c r="G37" s="108"/>
      <c r="H37" s="110"/>
      <c r="I37" s="12"/>
      <c r="J37" s="110"/>
      <c r="K37" s="110"/>
      <c r="L37" s="110"/>
      <c r="M37" s="110"/>
      <c r="N37" s="110"/>
      <c r="O37" s="110"/>
      <c r="P37" s="110"/>
      <c r="Q37" s="207"/>
    </row>
    <row r="38" spans="1:17" ht="32.25" thickBot="1" x14ac:dyDescent="0.3">
      <c r="A38" s="85">
        <v>2</v>
      </c>
      <c r="B38" s="85">
        <v>1</v>
      </c>
      <c r="C38" s="92">
        <v>3</v>
      </c>
      <c r="D38" s="85"/>
      <c r="E38" s="85"/>
      <c r="F38" s="104" t="s">
        <v>31</v>
      </c>
      <c r="G38" s="108"/>
      <c r="H38" s="110"/>
      <c r="I38" s="12"/>
      <c r="J38" s="110"/>
      <c r="K38" s="110"/>
      <c r="L38" s="110"/>
      <c r="M38" s="110"/>
      <c r="N38" s="110"/>
      <c r="O38" s="110"/>
      <c r="P38" s="110"/>
      <c r="Q38" s="207"/>
    </row>
    <row r="39" spans="1:17" ht="16.5" thickBot="1" x14ac:dyDescent="0.3">
      <c r="A39" s="85">
        <v>2</v>
      </c>
      <c r="B39" s="85">
        <v>1</v>
      </c>
      <c r="C39" s="92">
        <v>3</v>
      </c>
      <c r="D39" s="85">
        <v>1</v>
      </c>
      <c r="E39" s="93"/>
      <c r="F39" s="104" t="s">
        <v>32</v>
      </c>
      <c r="G39" s="97">
        <f t="shared" ref="G39:P39" si="10">G40+G41</f>
        <v>0</v>
      </c>
      <c r="H39" s="98">
        <f t="shared" si="10"/>
        <v>0</v>
      </c>
      <c r="I39" s="16">
        <f t="shared" si="10"/>
        <v>0</v>
      </c>
      <c r="J39" s="98">
        <f t="shared" si="10"/>
        <v>0</v>
      </c>
      <c r="K39" s="98">
        <f t="shared" si="10"/>
        <v>0</v>
      </c>
      <c r="L39" s="98">
        <f t="shared" si="10"/>
        <v>0</v>
      </c>
      <c r="M39" s="98">
        <f t="shared" si="10"/>
        <v>0</v>
      </c>
      <c r="N39" s="98">
        <f t="shared" si="10"/>
        <v>0</v>
      </c>
      <c r="O39" s="98"/>
      <c r="P39" s="98">
        <f t="shared" si="10"/>
        <v>0</v>
      </c>
      <c r="Q39" s="210">
        <f>Q40+Q41</f>
        <v>0</v>
      </c>
    </row>
    <row r="40" spans="1:17" ht="15.75" x14ac:dyDescent="0.25">
      <c r="A40" s="85">
        <v>2</v>
      </c>
      <c r="B40" s="85">
        <v>1</v>
      </c>
      <c r="C40" s="92">
        <v>3</v>
      </c>
      <c r="D40" s="85">
        <v>1</v>
      </c>
      <c r="E40" s="85">
        <v>1</v>
      </c>
      <c r="F40" s="106" t="s">
        <v>33</v>
      </c>
      <c r="G40" s="107"/>
      <c r="H40" s="110">
        <f t="shared" ref="H40:K41" si="11">G40*12</f>
        <v>0</v>
      </c>
      <c r="I40" s="110">
        <f t="shared" si="11"/>
        <v>0</v>
      </c>
      <c r="J40" s="110">
        <f t="shared" si="11"/>
        <v>0</v>
      </c>
      <c r="K40" s="110">
        <f t="shared" si="11"/>
        <v>0</v>
      </c>
      <c r="L40" s="110"/>
      <c r="M40" s="110"/>
      <c r="N40" s="110"/>
      <c r="O40" s="110"/>
      <c r="P40" s="182">
        <f>+H40+J40+K40+L40+M40+N40+O40</f>
        <v>0</v>
      </c>
      <c r="Q40" s="207">
        <f>+G40-P40</f>
        <v>0</v>
      </c>
    </row>
    <row r="41" spans="1:17" ht="15.75" x14ac:dyDescent="0.25">
      <c r="A41" s="85">
        <v>2</v>
      </c>
      <c r="B41" s="85">
        <v>1</v>
      </c>
      <c r="C41" s="92">
        <v>3</v>
      </c>
      <c r="D41" s="85">
        <v>1</v>
      </c>
      <c r="E41" s="85">
        <v>2</v>
      </c>
      <c r="F41" s="106" t="s">
        <v>34</v>
      </c>
      <c r="G41" s="108"/>
      <c r="H41" s="110">
        <f t="shared" si="11"/>
        <v>0</v>
      </c>
      <c r="I41" s="110">
        <f t="shared" si="11"/>
        <v>0</v>
      </c>
      <c r="J41" s="110">
        <f t="shared" si="11"/>
        <v>0</v>
      </c>
      <c r="K41" s="110">
        <f t="shared" si="11"/>
        <v>0</v>
      </c>
      <c r="L41" s="110"/>
      <c r="M41" s="110"/>
      <c r="N41" s="110"/>
      <c r="O41" s="110"/>
      <c r="P41" s="103">
        <f>+H41+J41+K41+L41+M41+N41</f>
        <v>0</v>
      </c>
      <c r="Q41" s="207">
        <f>+G41-P41</f>
        <v>0</v>
      </c>
    </row>
    <row r="42" spans="1:17" s="17" customFormat="1" ht="15.75" x14ac:dyDescent="0.25">
      <c r="A42" s="85"/>
      <c r="B42" s="85"/>
      <c r="C42" s="92"/>
      <c r="D42" s="85"/>
      <c r="E42" s="85"/>
      <c r="F42" s="106"/>
      <c r="G42" s="108"/>
      <c r="H42" s="110"/>
      <c r="I42" s="12"/>
      <c r="J42" s="110"/>
      <c r="K42" s="110"/>
      <c r="L42" s="110"/>
      <c r="M42" s="110"/>
      <c r="N42" s="110"/>
      <c r="O42" s="110"/>
      <c r="P42" s="110"/>
      <c r="Q42" s="207"/>
    </row>
    <row r="43" spans="1:17" ht="32.25" thickBot="1" x14ac:dyDescent="0.3">
      <c r="A43" s="85">
        <v>2</v>
      </c>
      <c r="B43" s="115">
        <v>1</v>
      </c>
      <c r="C43" s="116">
        <v>5</v>
      </c>
      <c r="D43" s="93"/>
      <c r="E43" s="93"/>
      <c r="F43" s="104" t="s">
        <v>35</v>
      </c>
      <c r="G43" s="95">
        <f t="shared" ref="G43:Q43" si="12">SUM(G44:G46)</f>
        <v>2506879</v>
      </c>
      <c r="H43" s="96">
        <f t="shared" si="12"/>
        <v>206315.72999999998</v>
      </c>
      <c r="I43" s="6" t="e">
        <f t="shared" si="12"/>
        <v>#REF!</v>
      </c>
      <c r="J43" s="96">
        <f t="shared" si="12"/>
        <v>208973.74</v>
      </c>
      <c r="K43" s="96">
        <f t="shared" si="12"/>
        <v>208973.74</v>
      </c>
      <c r="L43" s="96">
        <f t="shared" si="12"/>
        <v>202912.02100000001</v>
      </c>
      <c r="M43" s="96">
        <f t="shared" si="12"/>
        <v>208973.74</v>
      </c>
      <c r="N43" s="105">
        <f t="shared" si="12"/>
        <v>208973.74</v>
      </c>
      <c r="O43" s="105">
        <f t="shared" si="12"/>
        <v>208973.74</v>
      </c>
      <c r="P43" s="118">
        <f t="shared" si="12"/>
        <v>1454096.4510000001</v>
      </c>
      <c r="Q43" s="202">
        <f t="shared" si="12"/>
        <v>1052782.5490000001</v>
      </c>
    </row>
    <row r="44" spans="1:17" ht="31.5" x14ac:dyDescent="0.25">
      <c r="A44" s="85">
        <v>2</v>
      </c>
      <c r="B44" s="85">
        <v>1</v>
      </c>
      <c r="C44" s="92">
        <v>5</v>
      </c>
      <c r="D44" s="85">
        <v>1</v>
      </c>
      <c r="E44" s="85"/>
      <c r="F44" s="99" t="s">
        <v>36</v>
      </c>
      <c r="G44" s="107">
        <v>1128795</v>
      </c>
      <c r="H44" s="109">
        <v>92444.4</v>
      </c>
      <c r="I44" s="13" t="e">
        <f>+G44-#REF!</f>
        <v>#REF!</v>
      </c>
      <c r="J44" s="109">
        <v>94075.8</v>
      </c>
      <c r="K44" s="109">
        <v>94075.8</v>
      </c>
      <c r="L44" s="109">
        <f>94075.801-6061.72</f>
        <v>88014.081000000006</v>
      </c>
      <c r="M44" s="109">
        <v>94075.8</v>
      </c>
      <c r="N44" s="110">
        <v>94075.8</v>
      </c>
      <c r="O44" s="110">
        <v>94075.8</v>
      </c>
      <c r="P44" s="103">
        <f>+H44+J44+K44+L44+M44+N44+O44</f>
        <v>650837.48100000003</v>
      </c>
      <c r="Q44" s="208">
        <f>+G44-P44</f>
        <v>477957.51899999997</v>
      </c>
    </row>
    <row r="45" spans="1:17" ht="31.5" x14ac:dyDescent="0.25">
      <c r="A45" s="85">
        <v>2</v>
      </c>
      <c r="B45" s="85">
        <v>1</v>
      </c>
      <c r="C45" s="92">
        <v>5</v>
      </c>
      <c r="D45" s="85">
        <v>2</v>
      </c>
      <c r="E45" s="85"/>
      <c r="F45" s="99" t="s">
        <v>37</v>
      </c>
      <c r="G45" s="108">
        <v>1247325</v>
      </c>
      <c r="H45" s="110">
        <v>103292.95</v>
      </c>
      <c r="I45" s="12" t="e">
        <f>+G45-#REF!</f>
        <v>#REF!</v>
      </c>
      <c r="J45" s="110">
        <v>104002.95</v>
      </c>
      <c r="K45" s="110">
        <v>104002.95</v>
      </c>
      <c r="L45" s="110">
        <v>104002.95</v>
      </c>
      <c r="M45" s="110">
        <v>104002.95</v>
      </c>
      <c r="N45" s="110">
        <v>104002.95</v>
      </c>
      <c r="O45" s="110">
        <v>104002.95</v>
      </c>
      <c r="P45" s="103">
        <f>+H45+J45+K45+L45+M45+N45+O45</f>
        <v>727310.64999999991</v>
      </c>
      <c r="Q45" s="207">
        <f>+G45-P45</f>
        <v>520014.35000000009</v>
      </c>
    </row>
    <row r="46" spans="1:17" ht="15.75" x14ac:dyDescent="0.25">
      <c r="A46" s="85">
        <v>2</v>
      </c>
      <c r="B46" s="85">
        <v>1</v>
      </c>
      <c r="C46" s="92">
        <v>5</v>
      </c>
      <c r="D46" s="85">
        <v>3</v>
      </c>
      <c r="E46" s="85"/>
      <c r="F46" s="106" t="s">
        <v>38</v>
      </c>
      <c r="G46" s="108">
        <v>130759</v>
      </c>
      <c r="H46" s="110">
        <v>10578.38</v>
      </c>
      <c r="I46" s="12" t="e">
        <f>+G46-#REF!</f>
        <v>#REF!</v>
      </c>
      <c r="J46" s="110">
        <v>10894.99</v>
      </c>
      <c r="K46" s="110">
        <v>10894.99</v>
      </c>
      <c r="L46" s="110">
        <v>10894.99</v>
      </c>
      <c r="M46" s="110">
        <v>10894.99</v>
      </c>
      <c r="N46" s="110">
        <v>10894.99</v>
      </c>
      <c r="O46" s="110">
        <v>10894.99</v>
      </c>
      <c r="P46" s="103">
        <f>+H46+J46+K46+L46+M46+N46+O46</f>
        <v>75948.319999999992</v>
      </c>
      <c r="Q46" s="207">
        <f>+G46-P46</f>
        <v>54810.680000000008</v>
      </c>
    </row>
    <row r="47" spans="1:17" ht="15.75" x14ac:dyDescent="0.25">
      <c r="A47" s="85"/>
      <c r="B47" s="85"/>
      <c r="C47" s="92"/>
      <c r="D47" s="85"/>
      <c r="E47" s="85"/>
      <c r="F47" s="106"/>
      <c r="G47" s="108"/>
      <c r="H47" s="110"/>
      <c r="I47" s="12"/>
      <c r="J47" s="110"/>
      <c r="K47" s="110"/>
      <c r="L47" s="110"/>
      <c r="M47" s="110"/>
      <c r="N47" s="110"/>
      <c r="O47" s="110"/>
      <c r="P47" s="110"/>
      <c r="Q47" s="207"/>
    </row>
    <row r="48" spans="1:17" ht="16.5" thickBot="1" x14ac:dyDescent="0.3">
      <c r="A48" s="85">
        <v>2</v>
      </c>
      <c r="B48" s="85">
        <v>2</v>
      </c>
      <c r="C48" s="92"/>
      <c r="D48" s="85"/>
      <c r="E48" s="93"/>
      <c r="F48" s="94" t="s">
        <v>39</v>
      </c>
      <c r="G48" s="95">
        <f t="shared" ref="G48:Q48" si="13">G49+G57+G61+G65+G69+G81+G89+G77+G104</f>
        <v>18307031</v>
      </c>
      <c r="H48" s="105">
        <f t="shared" si="13"/>
        <v>1340446.24</v>
      </c>
      <c r="I48" s="10" t="e">
        <f t="shared" si="13"/>
        <v>#REF!</v>
      </c>
      <c r="J48" s="105">
        <f t="shared" si="13"/>
        <v>1520971.4000000001</v>
      </c>
      <c r="K48" s="105">
        <f t="shared" si="13"/>
        <v>1562030.84</v>
      </c>
      <c r="L48" s="105">
        <f t="shared" si="13"/>
        <v>2163287.7000000002</v>
      </c>
      <c r="M48" s="105">
        <f t="shared" si="13"/>
        <v>1933250.05</v>
      </c>
      <c r="N48" s="105">
        <f t="shared" si="13"/>
        <v>1878724.8000000003</v>
      </c>
      <c r="O48" s="105">
        <f t="shared" si="13"/>
        <v>1885963.28</v>
      </c>
      <c r="P48" s="105">
        <f t="shared" si="13"/>
        <v>12284674.309999999</v>
      </c>
      <c r="Q48" s="206">
        <f t="shared" si="13"/>
        <v>6022356.6900000004</v>
      </c>
    </row>
    <row r="49" spans="1:17" ht="16.5" thickBot="1" x14ac:dyDescent="0.3">
      <c r="A49" s="85">
        <v>2</v>
      </c>
      <c r="B49" s="85">
        <v>2</v>
      </c>
      <c r="C49" s="92">
        <v>1</v>
      </c>
      <c r="D49" s="85"/>
      <c r="E49" s="93"/>
      <c r="F49" s="94" t="s">
        <v>40</v>
      </c>
      <c r="G49" s="112">
        <f>G50+G51+G52+G54</f>
        <v>1401915</v>
      </c>
      <c r="H49" s="96">
        <f>H50+H51+H52+H54</f>
        <v>122900.01999999999</v>
      </c>
      <c r="I49" s="6" t="e">
        <f>I50+I51+I52+I54</f>
        <v>#REF!</v>
      </c>
      <c r="J49" s="96">
        <f>J50+J51+J52+J54</f>
        <v>121985.62</v>
      </c>
      <c r="K49" s="96">
        <f t="shared" ref="K49:P49" si="14">K50+K51+K52+K54</f>
        <v>120045.4</v>
      </c>
      <c r="L49" s="96">
        <f t="shared" si="14"/>
        <v>164988.94</v>
      </c>
      <c r="M49" s="96">
        <f t="shared" si="14"/>
        <v>121623.14</v>
      </c>
      <c r="N49" s="113">
        <f t="shared" si="14"/>
        <v>137949.64000000001</v>
      </c>
      <c r="O49" s="113">
        <f t="shared" si="14"/>
        <v>132119.09999999998</v>
      </c>
      <c r="P49" s="113">
        <f t="shared" si="14"/>
        <v>921611.86</v>
      </c>
      <c r="Q49" s="202">
        <f>Q50+Q51+Q52+Q54</f>
        <v>480303.14</v>
      </c>
    </row>
    <row r="50" spans="1:17" ht="15.75" x14ac:dyDescent="0.25">
      <c r="A50" s="85">
        <v>2</v>
      </c>
      <c r="B50" s="85">
        <v>2</v>
      </c>
      <c r="C50" s="92">
        <v>1</v>
      </c>
      <c r="D50" s="85">
        <v>3</v>
      </c>
      <c r="E50" s="85"/>
      <c r="F50" s="99" t="s">
        <v>41</v>
      </c>
      <c r="G50" s="107">
        <v>336000</v>
      </c>
      <c r="H50" s="109">
        <f>47963.82+22207.42+2155</f>
        <v>72326.239999999991</v>
      </c>
      <c r="I50" s="13" t="e">
        <f>+G50-#REF!</f>
        <v>#REF!</v>
      </c>
      <c r="J50" s="109">
        <f>8785.14+2212.21+22518.17+31889</f>
        <v>65404.52</v>
      </c>
      <c r="K50" s="109">
        <f>31889+22264.93+2041</f>
        <v>56194.93</v>
      </c>
      <c r="L50" s="109">
        <f>22125.78+42779+2041</f>
        <v>66945.78</v>
      </c>
      <c r="M50" s="109">
        <f>31893.55+22075.97+2041</f>
        <v>56010.520000000004</v>
      </c>
      <c r="N50" s="110">
        <f>21949.11+31889+2041+18886.02</f>
        <v>74765.13</v>
      </c>
      <c r="O50" s="110">
        <f>7793.5+2041+22381.37+31889</f>
        <v>64104.869999999995</v>
      </c>
      <c r="P50" s="103">
        <f>+H50+J50+K50+L50+M50+N50+O50</f>
        <v>455751.99</v>
      </c>
      <c r="Q50" s="208">
        <f>+G50-P50</f>
        <v>-119751.98999999999</v>
      </c>
    </row>
    <row r="51" spans="1:17" ht="15.75" x14ac:dyDescent="0.25">
      <c r="A51" s="85">
        <v>2</v>
      </c>
      <c r="B51" s="85">
        <v>2</v>
      </c>
      <c r="C51" s="92">
        <v>1</v>
      </c>
      <c r="D51" s="85">
        <v>4</v>
      </c>
      <c r="E51" s="85"/>
      <c r="F51" s="99" t="s">
        <v>42</v>
      </c>
      <c r="G51" s="108">
        <v>47822</v>
      </c>
      <c r="H51" s="110"/>
      <c r="I51" s="12"/>
      <c r="J51" s="110"/>
      <c r="K51" s="110"/>
      <c r="L51" s="110"/>
      <c r="M51" s="110"/>
      <c r="N51" s="110"/>
      <c r="O51" s="110"/>
      <c r="P51" s="103">
        <f>+H51+J51+K51+L51+M51+N51+O51</f>
        <v>0</v>
      </c>
      <c r="Q51" s="207">
        <f>+G51-P51</f>
        <v>47822</v>
      </c>
    </row>
    <row r="52" spans="1:17" ht="31.5" x14ac:dyDescent="0.25">
      <c r="A52" s="85">
        <v>2</v>
      </c>
      <c r="B52" s="85">
        <v>2</v>
      </c>
      <c r="C52" s="92">
        <v>1</v>
      </c>
      <c r="D52" s="85">
        <v>5</v>
      </c>
      <c r="E52" s="85"/>
      <c r="F52" s="99" t="s">
        <v>43</v>
      </c>
      <c r="G52" s="108">
        <v>346093</v>
      </c>
      <c r="H52" s="110"/>
      <c r="I52" s="12" t="e">
        <f>+G52-#REF!</f>
        <v>#REF!</v>
      </c>
      <c r="J52" s="110"/>
      <c r="K52" s="110">
        <v>9289.85</v>
      </c>
      <c r="L52" s="110">
        <v>40068.33</v>
      </c>
      <c r="M52" s="110"/>
      <c r="N52" s="110"/>
      <c r="O52" s="110"/>
      <c r="P52" s="103">
        <f>+H52+J52+K52+L52+M52+N52+O52</f>
        <v>49358.18</v>
      </c>
      <c r="Q52" s="207">
        <f>+G52-P52</f>
        <v>296734.82</v>
      </c>
    </row>
    <row r="53" spans="1:17" ht="15.75" x14ac:dyDescent="0.25">
      <c r="A53" s="85"/>
      <c r="B53" s="85"/>
      <c r="C53" s="92"/>
      <c r="D53" s="85"/>
      <c r="E53" s="85"/>
      <c r="F53" s="99"/>
      <c r="G53" s="108"/>
      <c r="H53" s="110"/>
      <c r="I53" s="12"/>
      <c r="J53" s="110"/>
      <c r="K53" s="110"/>
      <c r="L53" s="110"/>
      <c r="M53" s="110"/>
      <c r="N53" s="110"/>
      <c r="O53" s="110"/>
      <c r="P53" s="110"/>
      <c r="Q53" s="207"/>
    </row>
    <row r="54" spans="1:17" ht="16.5" thickBot="1" x14ac:dyDescent="0.3">
      <c r="A54" s="85">
        <v>2</v>
      </c>
      <c r="B54" s="85">
        <v>2</v>
      </c>
      <c r="C54" s="92">
        <v>1</v>
      </c>
      <c r="D54" s="85">
        <v>6</v>
      </c>
      <c r="E54" s="85"/>
      <c r="F54" s="104" t="s">
        <v>44</v>
      </c>
      <c r="G54" s="95">
        <f t="shared" ref="G54:L54" si="15">G55</f>
        <v>672000</v>
      </c>
      <c r="H54" s="117">
        <f t="shared" si="15"/>
        <v>50573.78</v>
      </c>
      <c r="I54" s="19" t="e">
        <f t="shared" si="15"/>
        <v>#REF!</v>
      </c>
      <c r="J54" s="117">
        <f t="shared" si="15"/>
        <v>56581.1</v>
      </c>
      <c r="K54" s="117">
        <f t="shared" si="15"/>
        <v>54560.62</v>
      </c>
      <c r="L54" s="117">
        <f t="shared" si="15"/>
        <v>57974.83</v>
      </c>
      <c r="M54" s="117">
        <f>M55</f>
        <v>65612.62</v>
      </c>
      <c r="N54" s="117">
        <f>N55</f>
        <v>63184.51</v>
      </c>
      <c r="O54" s="117">
        <f>O55</f>
        <v>68014.23</v>
      </c>
      <c r="P54" s="117">
        <f>P55</f>
        <v>416501.69</v>
      </c>
      <c r="Q54" s="211">
        <f>Q55</f>
        <v>255498.31</v>
      </c>
    </row>
    <row r="55" spans="1:17" ht="15.75" x14ac:dyDescent="0.25">
      <c r="A55" s="85">
        <v>2</v>
      </c>
      <c r="B55" s="85">
        <v>2</v>
      </c>
      <c r="C55" s="92">
        <v>1</v>
      </c>
      <c r="D55" s="85">
        <v>6</v>
      </c>
      <c r="E55" s="85">
        <v>1</v>
      </c>
      <c r="F55" s="99" t="s">
        <v>45</v>
      </c>
      <c r="G55" s="107">
        <v>672000</v>
      </c>
      <c r="H55" s="110">
        <v>50573.78</v>
      </c>
      <c r="I55" s="13" t="e">
        <f>+G55-#REF!</f>
        <v>#REF!</v>
      </c>
      <c r="J55" s="110">
        <v>56581.1</v>
      </c>
      <c r="K55" s="110">
        <v>54560.62</v>
      </c>
      <c r="L55" s="110">
        <v>57974.83</v>
      </c>
      <c r="M55" s="110">
        <v>65612.62</v>
      </c>
      <c r="N55" s="109">
        <v>63184.51</v>
      </c>
      <c r="O55" s="109">
        <v>68014.23</v>
      </c>
      <c r="P55" s="182">
        <f>+H55+J55+K55+L55+M55+N55+O55</f>
        <v>416501.69</v>
      </c>
      <c r="Q55" s="208">
        <f>+G55-P55</f>
        <v>255498.31</v>
      </c>
    </row>
    <row r="56" spans="1:17" ht="15.75" x14ac:dyDescent="0.25">
      <c r="A56" s="85"/>
      <c r="B56" s="85"/>
      <c r="C56" s="92"/>
      <c r="D56" s="85"/>
      <c r="E56" s="85"/>
      <c r="F56" s="99"/>
      <c r="G56" s="108"/>
      <c r="H56" s="110"/>
      <c r="I56" s="12"/>
      <c r="J56" s="110"/>
      <c r="K56" s="110"/>
      <c r="L56" s="110"/>
      <c r="M56" s="110"/>
      <c r="N56" s="110"/>
      <c r="O56" s="110"/>
      <c r="P56" s="110"/>
      <c r="Q56" s="207"/>
    </row>
    <row r="57" spans="1:17" ht="32.25" thickBot="1" x14ac:dyDescent="0.3">
      <c r="A57" s="85">
        <v>2</v>
      </c>
      <c r="B57" s="85">
        <v>2</v>
      </c>
      <c r="C57" s="92">
        <v>2</v>
      </c>
      <c r="D57" s="85"/>
      <c r="E57" s="85"/>
      <c r="F57" s="104" t="s">
        <v>46</v>
      </c>
      <c r="G57" s="95">
        <f>SUM(G58:G59)</f>
        <v>175500</v>
      </c>
      <c r="H57" s="96">
        <f>H58+H59</f>
        <v>0</v>
      </c>
      <c r="I57" s="20" t="e">
        <f>I58+I59</f>
        <v>#REF!</v>
      </c>
      <c r="J57" s="96">
        <f>J58+J59</f>
        <v>3325</v>
      </c>
      <c r="K57" s="96">
        <f>K58+K59</f>
        <v>7450</v>
      </c>
      <c r="L57" s="96">
        <f t="shared" ref="L57:Q57" si="16">L58+L59</f>
        <v>4760</v>
      </c>
      <c r="M57" s="96">
        <f t="shared" si="16"/>
        <v>0</v>
      </c>
      <c r="N57" s="105">
        <f t="shared" si="16"/>
        <v>165100</v>
      </c>
      <c r="O57" s="105">
        <f t="shared" si="16"/>
        <v>218610</v>
      </c>
      <c r="P57" s="105">
        <f t="shared" si="16"/>
        <v>399245</v>
      </c>
      <c r="Q57" s="212">
        <f t="shared" si="16"/>
        <v>-223745</v>
      </c>
    </row>
    <row r="58" spans="1:17" ht="15.75" x14ac:dyDescent="0.25">
      <c r="A58" s="85">
        <v>2</v>
      </c>
      <c r="B58" s="85">
        <v>2</v>
      </c>
      <c r="C58" s="92">
        <v>2</v>
      </c>
      <c r="D58" s="85">
        <v>1</v>
      </c>
      <c r="E58" s="85"/>
      <c r="F58" s="106" t="s">
        <v>47</v>
      </c>
      <c r="G58" s="107">
        <v>175500</v>
      </c>
      <c r="H58" s="109"/>
      <c r="I58" s="12" t="e">
        <f>+G58-#REF!</f>
        <v>#REF!</v>
      </c>
      <c r="J58" s="109">
        <v>3100</v>
      </c>
      <c r="K58" s="109">
        <v>3450</v>
      </c>
      <c r="L58" s="109">
        <v>0</v>
      </c>
      <c r="M58" s="109"/>
      <c r="N58" s="110">
        <v>165000</v>
      </c>
      <c r="O58" s="110"/>
      <c r="P58" s="103">
        <f>+H58+J58+K58+L58+M58+N58+O58</f>
        <v>171550</v>
      </c>
      <c r="Q58" s="207">
        <f>+G58-P58</f>
        <v>3950</v>
      </c>
    </row>
    <row r="59" spans="1:17" ht="15.75" x14ac:dyDescent="0.25">
      <c r="A59" s="85">
        <v>2</v>
      </c>
      <c r="B59" s="85">
        <v>2</v>
      </c>
      <c r="C59" s="92">
        <v>2</v>
      </c>
      <c r="D59" s="85">
        <v>2</v>
      </c>
      <c r="E59" s="85"/>
      <c r="F59" s="106" t="s">
        <v>48</v>
      </c>
      <c r="G59" s="108"/>
      <c r="H59" s="110"/>
      <c r="I59" s="12" t="e">
        <f>+G59-#REF!</f>
        <v>#REF!</v>
      </c>
      <c r="J59" s="110">
        <v>225</v>
      </c>
      <c r="K59" s="110">
        <v>4000</v>
      </c>
      <c r="L59" s="110">
        <v>4760</v>
      </c>
      <c r="M59" s="110"/>
      <c r="N59" s="110">
        <v>100</v>
      </c>
      <c r="O59" s="110">
        <v>218610</v>
      </c>
      <c r="P59" s="103">
        <f>+H59+J59+K59+L59+M59+N59+O59</f>
        <v>227695</v>
      </c>
      <c r="Q59" s="207">
        <f>+G59-P59</f>
        <v>-227695</v>
      </c>
    </row>
    <row r="60" spans="1:17" ht="15.75" x14ac:dyDescent="0.25">
      <c r="A60" s="85"/>
      <c r="B60" s="85"/>
      <c r="C60" s="92"/>
      <c r="D60" s="85"/>
      <c r="E60" s="85"/>
      <c r="F60" s="99"/>
      <c r="G60" s="108"/>
      <c r="H60" s="110"/>
      <c r="I60" s="12"/>
      <c r="J60" s="110"/>
      <c r="K60" s="110"/>
      <c r="L60" s="110"/>
      <c r="M60" s="110"/>
      <c r="N60" s="110"/>
      <c r="O60" s="110"/>
      <c r="P60" s="110"/>
      <c r="Q60" s="207"/>
    </row>
    <row r="61" spans="1:17" ht="16.5" thickBot="1" x14ac:dyDescent="0.3">
      <c r="A61" s="85">
        <v>2</v>
      </c>
      <c r="B61" s="85">
        <v>2</v>
      </c>
      <c r="C61" s="92">
        <v>3</v>
      </c>
      <c r="D61" s="85"/>
      <c r="E61" s="85"/>
      <c r="F61" s="104" t="s">
        <v>49</v>
      </c>
      <c r="G61" s="95">
        <f t="shared" ref="G61:Q61" si="17">G62+G63</f>
        <v>550000</v>
      </c>
      <c r="H61" s="105">
        <f t="shared" si="17"/>
        <v>0</v>
      </c>
      <c r="I61" s="10" t="e">
        <f t="shared" si="17"/>
        <v>#REF!</v>
      </c>
      <c r="J61" s="105">
        <f t="shared" si="17"/>
        <v>0</v>
      </c>
      <c r="K61" s="105">
        <f t="shared" si="17"/>
        <v>1600</v>
      </c>
      <c r="L61" s="105">
        <f t="shared" si="17"/>
        <v>90183.12</v>
      </c>
      <c r="M61" s="105">
        <f t="shared" si="17"/>
        <v>130003.2</v>
      </c>
      <c r="N61" s="105">
        <f t="shared" si="17"/>
        <v>0</v>
      </c>
      <c r="O61" s="105">
        <f t="shared" si="17"/>
        <v>3000</v>
      </c>
      <c r="P61" s="105">
        <f t="shared" si="17"/>
        <v>224786.32</v>
      </c>
      <c r="Q61" s="206">
        <f t="shared" si="17"/>
        <v>325213.68</v>
      </c>
    </row>
    <row r="62" spans="1:17" ht="15.75" x14ac:dyDescent="0.25">
      <c r="A62" s="85">
        <v>2</v>
      </c>
      <c r="B62" s="85">
        <v>2</v>
      </c>
      <c r="C62" s="92">
        <v>3</v>
      </c>
      <c r="D62" s="85">
        <v>1</v>
      </c>
      <c r="E62" s="119"/>
      <c r="F62" s="106" t="s">
        <v>50</v>
      </c>
      <c r="G62" s="100"/>
      <c r="H62" s="101"/>
      <c r="I62" s="8" t="e">
        <f>+G62-#REF!</f>
        <v>#REF!</v>
      </c>
      <c r="J62" s="101"/>
      <c r="K62" s="109">
        <f>1000+300+300</f>
        <v>1600</v>
      </c>
      <c r="L62" s="109">
        <f>2000+500+1000+1000</f>
        <v>4500</v>
      </c>
      <c r="M62" s="109"/>
      <c r="N62" s="110"/>
      <c r="O62" s="110">
        <f>1500+1500</f>
        <v>3000</v>
      </c>
      <c r="P62" s="103">
        <f>+H62+J62+K62+L62+M62+N62+O62</f>
        <v>9100</v>
      </c>
      <c r="Q62" s="204">
        <f>+G62-P62</f>
        <v>-9100</v>
      </c>
    </row>
    <row r="63" spans="1:17" ht="15.75" x14ac:dyDescent="0.25">
      <c r="A63" s="85">
        <v>2</v>
      </c>
      <c r="B63" s="85">
        <v>2</v>
      </c>
      <c r="C63" s="92">
        <v>3</v>
      </c>
      <c r="D63" s="85">
        <v>2</v>
      </c>
      <c r="E63" s="119"/>
      <c r="F63" s="106" t="s">
        <v>51</v>
      </c>
      <c r="G63" s="108">
        <v>550000</v>
      </c>
      <c r="H63" s="110"/>
      <c r="I63" s="12" t="e">
        <f>+G63-#REF!</f>
        <v>#REF!</v>
      </c>
      <c r="J63" s="110"/>
      <c r="K63" s="110"/>
      <c r="L63" s="110">
        <v>85683.12</v>
      </c>
      <c r="M63" s="110">
        <v>130003.2</v>
      </c>
      <c r="N63" s="110"/>
      <c r="O63" s="110"/>
      <c r="P63" s="103">
        <f>+H63+J63+K63+L63+M63+N63+O63</f>
        <v>215686.32</v>
      </c>
      <c r="Q63" s="207">
        <f>+G63-P63</f>
        <v>334313.68</v>
      </c>
    </row>
    <row r="64" spans="1:17" ht="15.75" x14ac:dyDescent="0.25">
      <c r="A64" s="85"/>
      <c r="B64" s="85"/>
      <c r="C64" s="92"/>
      <c r="D64" s="85"/>
      <c r="E64" s="85"/>
      <c r="F64" s="106"/>
      <c r="G64" s="108"/>
      <c r="H64" s="110"/>
      <c r="I64" s="12" t="e">
        <f>+G64-#REF!</f>
        <v>#REF!</v>
      </c>
      <c r="J64" s="110"/>
      <c r="K64" s="110"/>
      <c r="L64" s="110"/>
      <c r="M64" s="110"/>
      <c r="N64" s="110"/>
      <c r="O64" s="110"/>
      <c r="P64" s="110"/>
      <c r="Q64" s="207">
        <f>+G64-P64</f>
        <v>0</v>
      </c>
    </row>
    <row r="65" spans="1:17" ht="16.5" thickBot="1" x14ac:dyDescent="0.3">
      <c r="A65" s="85">
        <v>2</v>
      </c>
      <c r="B65" s="85">
        <v>2</v>
      </c>
      <c r="C65" s="92">
        <v>4</v>
      </c>
      <c r="D65" s="85"/>
      <c r="E65" s="85"/>
      <c r="F65" s="104" t="s">
        <v>52</v>
      </c>
      <c r="G65" s="95">
        <f>G66+G67</f>
        <v>280000</v>
      </c>
      <c r="H65" s="105">
        <f>H66+H67</f>
        <v>6910.99</v>
      </c>
      <c r="I65" s="10" t="e">
        <f>+G65-#REF!</f>
        <v>#REF!</v>
      </c>
      <c r="J65" s="105">
        <f t="shared" ref="J65:P65" si="18">J66+J67</f>
        <v>1600</v>
      </c>
      <c r="K65" s="105">
        <f t="shared" si="18"/>
        <v>5688.34</v>
      </c>
      <c r="L65" s="105">
        <f t="shared" si="18"/>
        <v>17923.03</v>
      </c>
      <c r="M65" s="105">
        <f t="shared" si="18"/>
        <v>35708.619999999995</v>
      </c>
      <c r="N65" s="105">
        <f t="shared" si="18"/>
        <v>4330.1899999999996</v>
      </c>
      <c r="O65" s="105">
        <f t="shared" si="18"/>
        <v>16143.07</v>
      </c>
      <c r="P65" s="105">
        <f t="shared" si="18"/>
        <v>88304.239999999991</v>
      </c>
      <c r="Q65" s="206">
        <f>Q66+Q67+Q68</f>
        <v>191695.76</v>
      </c>
    </row>
    <row r="66" spans="1:17" ht="15.75" x14ac:dyDescent="0.25">
      <c r="A66" s="85">
        <v>2</v>
      </c>
      <c r="B66" s="85">
        <v>2</v>
      </c>
      <c r="C66" s="92">
        <v>4</v>
      </c>
      <c r="D66" s="85">
        <v>1</v>
      </c>
      <c r="E66" s="85"/>
      <c r="F66" s="106" t="s">
        <v>53</v>
      </c>
      <c r="G66" s="107">
        <v>280000</v>
      </c>
      <c r="H66" s="110">
        <f>780+6130.99</f>
        <v>6910.99</v>
      </c>
      <c r="I66" s="12" t="e">
        <f>+G66-#REF!</f>
        <v>#REF!</v>
      </c>
      <c r="J66" s="110">
        <f>200+100+100+200+300+200+200+300</f>
        <v>1600</v>
      </c>
      <c r="K66" s="110">
        <f>4338.34+100+100+100+100+100+100+200+50+100+100+100+100+100</f>
        <v>5688.34</v>
      </c>
      <c r="L66" s="110">
        <f>10037.83+100+100+100+7585.2</f>
        <v>17923.03</v>
      </c>
      <c r="M66" s="110">
        <f>26358.62+6850+300+500+300+500+700+200</f>
        <v>35708.619999999995</v>
      </c>
      <c r="N66" s="109">
        <f>4130.19+100+100</f>
        <v>4330.1899999999996</v>
      </c>
      <c r="O66" s="109">
        <f>650+700+700+600+700+530+100+100+100+100+100+100+11663.07</f>
        <v>16143.07</v>
      </c>
      <c r="P66" s="182">
        <f>+H66+J66+K66+L66+M66+N66+O66</f>
        <v>88304.239999999991</v>
      </c>
      <c r="Q66" s="207">
        <f>+G66-P66</f>
        <v>191695.76</v>
      </c>
    </row>
    <row r="67" spans="1:17" ht="15.75" x14ac:dyDescent="0.25">
      <c r="A67" s="85">
        <v>2</v>
      </c>
      <c r="B67" s="85">
        <v>2</v>
      </c>
      <c r="C67" s="92">
        <v>4</v>
      </c>
      <c r="D67" s="85">
        <v>3</v>
      </c>
      <c r="E67" s="85"/>
      <c r="F67" s="106" t="s">
        <v>54</v>
      </c>
      <c r="G67" s="108"/>
      <c r="H67" s="110">
        <v>0</v>
      </c>
      <c r="I67" s="12" t="e">
        <f>+G67-#REF!</f>
        <v>#REF!</v>
      </c>
      <c r="J67" s="110">
        <v>0</v>
      </c>
      <c r="K67" s="110"/>
      <c r="L67" s="110"/>
      <c r="M67" s="110"/>
      <c r="N67" s="110"/>
      <c r="O67" s="110"/>
      <c r="P67" s="110">
        <f>+H67+J67+K67+L67+M67+N67+O67</f>
        <v>0</v>
      </c>
      <c r="Q67" s="207">
        <f>+G67-P67</f>
        <v>0</v>
      </c>
    </row>
    <row r="68" spans="1:17" ht="15.75" x14ac:dyDescent="0.25">
      <c r="A68" s="85"/>
      <c r="B68" s="85"/>
      <c r="C68" s="92"/>
      <c r="D68" s="85"/>
      <c r="E68" s="85"/>
      <c r="F68" s="106"/>
      <c r="G68" s="108"/>
      <c r="H68" s="110"/>
      <c r="I68" s="12" t="e">
        <f>+G68-#REF!</f>
        <v>#REF!</v>
      </c>
      <c r="J68" s="110"/>
      <c r="K68" s="110"/>
      <c r="L68" s="110"/>
      <c r="M68" s="110"/>
      <c r="N68" s="110"/>
      <c r="O68" s="110"/>
      <c r="P68" s="110"/>
      <c r="Q68" s="207">
        <f>+G68-P68</f>
        <v>0</v>
      </c>
    </row>
    <row r="69" spans="1:17" ht="16.5" thickBot="1" x14ac:dyDescent="0.3">
      <c r="A69" s="85">
        <v>2</v>
      </c>
      <c r="B69" s="85">
        <v>2</v>
      </c>
      <c r="C69" s="92">
        <v>5</v>
      </c>
      <c r="D69" s="85"/>
      <c r="E69" s="85"/>
      <c r="F69" s="104" t="s">
        <v>55</v>
      </c>
      <c r="G69" s="95">
        <f>G70+G75</f>
        <v>10015311</v>
      </c>
      <c r="H69" s="96">
        <f>H72+H70</f>
        <v>792285.26</v>
      </c>
      <c r="I69" s="6" t="e">
        <f>I72+I70</f>
        <v>#REF!</v>
      </c>
      <c r="J69" s="96">
        <f>J72+J70</f>
        <v>801242.44</v>
      </c>
      <c r="K69" s="96">
        <f>K72+K70</f>
        <v>801396.64</v>
      </c>
      <c r="L69" s="96">
        <f t="shared" ref="L69:Q69" si="19">L72+L70</f>
        <v>806109.24</v>
      </c>
      <c r="M69" s="96">
        <f t="shared" si="19"/>
        <v>792121.59</v>
      </c>
      <c r="N69" s="105">
        <f t="shared" si="19"/>
        <v>806673.29</v>
      </c>
      <c r="O69" s="105">
        <f t="shared" si="19"/>
        <v>804889.16</v>
      </c>
      <c r="P69" s="105">
        <f t="shared" si="19"/>
        <v>5604717.6200000001</v>
      </c>
      <c r="Q69" s="202">
        <f t="shared" si="19"/>
        <v>4410593.38</v>
      </c>
    </row>
    <row r="70" spans="1:17" ht="31.5" x14ac:dyDescent="0.25">
      <c r="A70" s="85">
        <v>2</v>
      </c>
      <c r="B70" s="85">
        <v>2</v>
      </c>
      <c r="C70" s="92">
        <v>5</v>
      </c>
      <c r="D70" s="85">
        <v>1</v>
      </c>
      <c r="E70" s="85"/>
      <c r="F70" s="99" t="s">
        <v>56</v>
      </c>
      <c r="G70" s="107">
        <v>9685383</v>
      </c>
      <c r="H70" s="109">
        <f>17098.97+766926.29</f>
        <v>784025.26</v>
      </c>
      <c r="I70" s="13" t="e">
        <f>+G70-#REF!</f>
        <v>#REF!</v>
      </c>
      <c r="J70" s="109">
        <f>17294.32+775688.12</f>
        <v>792982.44</v>
      </c>
      <c r="K70" s="109">
        <f>17297.68+775838.96</f>
        <v>793136.64000000001</v>
      </c>
      <c r="L70" s="109">
        <f>17400.46+780448.78</f>
        <v>797849.24</v>
      </c>
      <c r="M70" s="109">
        <f>766766.19+17095.4</f>
        <v>783861.59</v>
      </c>
      <c r="N70" s="110">
        <f>17412.76+781000.53</f>
        <v>798413.29</v>
      </c>
      <c r="O70" s="110">
        <f>779255.31+17373.85</f>
        <v>796629.16</v>
      </c>
      <c r="P70" s="103">
        <f>+H70+J70+K70+L70+M70+N70+O70</f>
        <v>5546897.6200000001</v>
      </c>
      <c r="Q70" s="208">
        <f>+G70-P70</f>
        <v>4138485.38</v>
      </c>
    </row>
    <row r="71" spans="1:17" ht="15.75" x14ac:dyDescent="0.25">
      <c r="A71" s="85"/>
      <c r="B71" s="85"/>
      <c r="C71" s="92"/>
      <c r="D71" s="85"/>
      <c r="E71" s="119"/>
      <c r="F71" s="106"/>
      <c r="G71" s="108"/>
      <c r="H71" s="110"/>
      <c r="I71" s="12"/>
      <c r="J71" s="110"/>
      <c r="K71" s="110"/>
      <c r="L71" s="110"/>
      <c r="M71" s="110"/>
      <c r="N71" s="110"/>
      <c r="O71" s="110"/>
      <c r="P71" s="110"/>
      <c r="Q71" s="207"/>
    </row>
    <row r="72" spans="1:17" ht="32.25" thickBot="1" x14ac:dyDescent="0.3">
      <c r="A72" s="85">
        <v>2</v>
      </c>
      <c r="B72" s="85">
        <v>2</v>
      </c>
      <c r="C72" s="92">
        <v>5</v>
      </c>
      <c r="D72" s="85">
        <v>3</v>
      </c>
      <c r="E72" s="93"/>
      <c r="F72" s="104" t="s">
        <v>57</v>
      </c>
      <c r="G72" s="95">
        <f t="shared" ref="G72:Q72" si="20">G73+G74+G75</f>
        <v>329928</v>
      </c>
      <c r="H72" s="105">
        <f t="shared" si="20"/>
        <v>8260</v>
      </c>
      <c r="I72" s="10" t="e">
        <f t="shared" si="20"/>
        <v>#REF!</v>
      </c>
      <c r="J72" s="105">
        <f t="shared" si="20"/>
        <v>8260</v>
      </c>
      <c r="K72" s="105">
        <f t="shared" si="20"/>
        <v>8260</v>
      </c>
      <c r="L72" s="105">
        <f t="shared" si="20"/>
        <v>8260</v>
      </c>
      <c r="M72" s="105">
        <f>M73+M74+M75</f>
        <v>8260</v>
      </c>
      <c r="N72" s="105">
        <f>N73+N74+N75</f>
        <v>8260</v>
      </c>
      <c r="O72" s="105">
        <f>O73+O74+O75</f>
        <v>8260</v>
      </c>
      <c r="P72" s="105">
        <f t="shared" si="20"/>
        <v>57820</v>
      </c>
      <c r="Q72" s="206">
        <f t="shared" si="20"/>
        <v>272108</v>
      </c>
    </row>
    <row r="73" spans="1:17" ht="15.75" x14ac:dyDescent="0.25">
      <c r="A73" s="85">
        <v>2</v>
      </c>
      <c r="B73" s="85">
        <v>2</v>
      </c>
      <c r="C73" s="92">
        <v>5</v>
      </c>
      <c r="D73" s="85">
        <v>3</v>
      </c>
      <c r="E73" s="85">
        <v>2</v>
      </c>
      <c r="F73" s="99" t="s">
        <v>58</v>
      </c>
      <c r="G73" s="107"/>
      <c r="H73" s="110">
        <v>0</v>
      </c>
      <c r="I73" s="12" t="e">
        <f>+G73-#REF!</f>
        <v>#REF!</v>
      </c>
      <c r="J73" s="110">
        <v>0</v>
      </c>
      <c r="K73" s="110"/>
      <c r="L73" s="110"/>
      <c r="M73" s="110"/>
      <c r="N73" s="110"/>
      <c r="O73" s="110"/>
      <c r="P73" s="103">
        <f>+H73+J73+K73+L73+M73+N73+O73</f>
        <v>0</v>
      </c>
      <c r="Q73" s="207">
        <f>+G73-P73</f>
        <v>0</v>
      </c>
    </row>
    <row r="74" spans="1:17" ht="31.5" x14ac:dyDescent="0.25">
      <c r="A74" s="85">
        <v>2</v>
      </c>
      <c r="B74" s="85">
        <v>2</v>
      </c>
      <c r="C74" s="92">
        <v>5</v>
      </c>
      <c r="D74" s="85">
        <v>3</v>
      </c>
      <c r="E74" s="85">
        <v>3</v>
      </c>
      <c r="F74" s="99" t="s">
        <v>59</v>
      </c>
      <c r="G74" s="108"/>
      <c r="H74" s="110"/>
      <c r="I74" s="12" t="e">
        <f>+G74-#REF!</f>
        <v>#REF!</v>
      </c>
      <c r="J74" s="110"/>
      <c r="K74" s="110"/>
      <c r="L74" s="110"/>
      <c r="M74" s="110"/>
      <c r="N74" s="110"/>
      <c r="O74" s="110"/>
      <c r="P74" s="103">
        <f>+H74+J74+K74+L74+M74+N74+O74</f>
        <v>0</v>
      </c>
      <c r="Q74" s="207">
        <f>+G74-P74</f>
        <v>0</v>
      </c>
    </row>
    <row r="75" spans="1:17" ht="31.5" x14ac:dyDescent="0.25">
      <c r="A75" s="85">
        <v>2</v>
      </c>
      <c r="B75" s="85">
        <v>2</v>
      </c>
      <c r="C75" s="92">
        <v>5</v>
      </c>
      <c r="D75" s="85">
        <v>3</v>
      </c>
      <c r="E75" s="85">
        <v>4</v>
      </c>
      <c r="F75" s="99" t="s">
        <v>60</v>
      </c>
      <c r="G75" s="108">
        <v>329928</v>
      </c>
      <c r="H75" s="110">
        <v>8260</v>
      </c>
      <c r="I75" s="12" t="e">
        <f>+G75-#REF!</f>
        <v>#REF!</v>
      </c>
      <c r="J75" s="110">
        <v>8260</v>
      </c>
      <c r="K75" s="110">
        <v>8260</v>
      </c>
      <c r="L75" s="110">
        <v>8260</v>
      </c>
      <c r="M75" s="110">
        <v>8260</v>
      </c>
      <c r="N75" s="110">
        <v>8260</v>
      </c>
      <c r="O75" s="110">
        <v>8260</v>
      </c>
      <c r="P75" s="103">
        <f>+H75+J75+K75+L75+M75+N75+O75</f>
        <v>57820</v>
      </c>
      <c r="Q75" s="207">
        <f>+G75-P75</f>
        <v>272108</v>
      </c>
    </row>
    <row r="76" spans="1:17" ht="16.5" thickBot="1" x14ac:dyDescent="0.3">
      <c r="A76" s="85"/>
      <c r="B76" s="85"/>
      <c r="C76" s="92"/>
      <c r="D76" s="85"/>
      <c r="E76" s="85"/>
      <c r="F76" s="99"/>
      <c r="G76" s="108"/>
      <c r="H76" s="110"/>
      <c r="I76" s="12"/>
      <c r="J76" s="110"/>
      <c r="K76" s="110"/>
      <c r="L76" s="110"/>
      <c r="M76" s="110"/>
      <c r="N76" s="110"/>
      <c r="O76" s="110"/>
      <c r="P76" s="110"/>
      <c r="Q76" s="207"/>
    </row>
    <row r="77" spans="1:17" s="21" customFormat="1" ht="16.5" thickBot="1" x14ac:dyDescent="0.3">
      <c r="A77" s="85">
        <v>2</v>
      </c>
      <c r="B77" s="85">
        <v>2</v>
      </c>
      <c r="C77" s="92">
        <v>6</v>
      </c>
      <c r="D77" s="85"/>
      <c r="E77" s="85"/>
      <c r="F77" s="99" t="s">
        <v>61</v>
      </c>
      <c r="G77" s="112">
        <f t="shared" ref="G77:Q77" si="21">G79+G78</f>
        <v>1434252</v>
      </c>
      <c r="H77" s="113">
        <f t="shared" si="21"/>
        <v>108478.82</v>
      </c>
      <c r="I77" s="113" t="e">
        <f t="shared" si="21"/>
        <v>#REF!</v>
      </c>
      <c r="J77" s="113">
        <f t="shared" si="21"/>
        <v>108478.82</v>
      </c>
      <c r="K77" s="113">
        <f t="shared" si="21"/>
        <v>191755.74</v>
      </c>
      <c r="L77" s="113">
        <f t="shared" si="21"/>
        <v>229933.34000000003</v>
      </c>
      <c r="M77" s="113">
        <f t="shared" si="21"/>
        <v>125469</v>
      </c>
      <c r="N77" s="113">
        <f t="shared" si="21"/>
        <v>125468.75</v>
      </c>
      <c r="O77" s="113">
        <f t="shared" si="21"/>
        <v>125468.75</v>
      </c>
      <c r="P77" s="113">
        <f t="shared" si="21"/>
        <v>1015053.22</v>
      </c>
      <c r="Q77" s="209">
        <f t="shared" si="21"/>
        <v>419198.78</v>
      </c>
    </row>
    <row r="78" spans="1:17" ht="16.5" thickBot="1" x14ac:dyDescent="0.3">
      <c r="A78" s="120">
        <v>2</v>
      </c>
      <c r="B78" s="120">
        <v>2</v>
      </c>
      <c r="C78" s="121">
        <v>6</v>
      </c>
      <c r="D78" s="120">
        <v>2</v>
      </c>
      <c r="E78" s="120">
        <v>1</v>
      </c>
      <c r="F78" s="122" t="s">
        <v>62</v>
      </c>
      <c r="G78" s="123">
        <v>125000</v>
      </c>
      <c r="H78" s="98"/>
      <c r="I78" s="16" t="e">
        <f>+G78-#REF!</f>
        <v>#REF!</v>
      </c>
      <c r="J78" s="98"/>
      <c r="K78" s="98"/>
      <c r="L78" s="98">
        <f>101556.1</f>
        <v>101556.1</v>
      </c>
      <c r="M78" s="98"/>
      <c r="N78" s="98"/>
      <c r="O78" s="98"/>
      <c r="P78" s="130">
        <f>+H78+J78+K78+L78+M78+N78+O78</f>
        <v>101556.1</v>
      </c>
      <c r="Q78" s="210">
        <f>+G78-P78</f>
        <v>23443.899999999994</v>
      </c>
    </row>
    <row r="79" spans="1:17" ht="15.75" x14ac:dyDescent="0.25">
      <c r="A79" s="85">
        <v>2</v>
      </c>
      <c r="B79" s="85">
        <v>2</v>
      </c>
      <c r="C79" s="92">
        <v>6</v>
      </c>
      <c r="D79" s="85">
        <v>3</v>
      </c>
      <c r="E79" s="85">
        <v>1</v>
      </c>
      <c r="F79" s="99" t="s">
        <v>63</v>
      </c>
      <c r="G79" s="108">
        <v>1309252</v>
      </c>
      <c r="H79" s="110">
        <v>108478.82</v>
      </c>
      <c r="I79" s="12" t="e">
        <f>+G79-#REF!</f>
        <v>#REF!</v>
      </c>
      <c r="J79" s="110">
        <v>108478.82</v>
      </c>
      <c r="K79" s="110">
        <f>113089.65+39242.96+23071.9+16351.23</f>
        <v>191755.74</v>
      </c>
      <c r="L79" s="110">
        <f>112025.61+16351.63</f>
        <v>128377.24</v>
      </c>
      <c r="M79" s="110">
        <v>125469</v>
      </c>
      <c r="N79" s="110">
        <v>125468.75</v>
      </c>
      <c r="O79" s="110">
        <v>125468.75</v>
      </c>
      <c r="P79" s="103">
        <f>+H79+J79+K79+L79+M79+N79+O79</f>
        <v>913497.12</v>
      </c>
      <c r="Q79" s="207">
        <f>+G79-P79</f>
        <v>395754.88</v>
      </c>
    </row>
    <row r="80" spans="1:17" ht="15.75" x14ac:dyDescent="0.25">
      <c r="A80" s="85"/>
      <c r="B80" s="85"/>
      <c r="C80" s="92"/>
      <c r="D80" s="85"/>
      <c r="E80" s="85"/>
      <c r="F80" s="99"/>
      <c r="G80" s="108"/>
      <c r="H80" s="110">
        <v>0</v>
      </c>
      <c r="I80" s="12">
        <v>0</v>
      </c>
      <c r="J80" s="110">
        <v>0</v>
      </c>
      <c r="K80" s="110"/>
      <c r="L80" s="110"/>
      <c r="M80" s="110"/>
      <c r="N80" s="110"/>
      <c r="O80" s="110"/>
      <c r="P80" s="103">
        <f>+H80+J80+K80+L80+M80+N80+O80</f>
        <v>0</v>
      </c>
      <c r="Q80" s="207">
        <v>0</v>
      </c>
    </row>
    <row r="81" spans="1:17" ht="48" thickBot="1" x14ac:dyDescent="0.3">
      <c r="A81" s="85">
        <v>2</v>
      </c>
      <c r="B81" s="85">
        <v>2</v>
      </c>
      <c r="C81" s="92">
        <v>7</v>
      </c>
      <c r="D81" s="85"/>
      <c r="E81" s="93"/>
      <c r="F81" s="104" t="s">
        <v>64</v>
      </c>
      <c r="G81" s="125">
        <f>G82</f>
        <v>45117</v>
      </c>
      <c r="H81" s="96">
        <f t="shared" ref="H81:P81" si="22">SUM(H83:H87)</f>
        <v>19800.52</v>
      </c>
      <c r="I81" s="96" t="e">
        <f t="shared" si="22"/>
        <v>#REF!</v>
      </c>
      <c r="J81" s="96">
        <f t="shared" si="22"/>
        <v>650</v>
      </c>
      <c r="K81" s="96">
        <f t="shared" si="22"/>
        <v>0</v>
      </c>
      <c r="L81" s="96">
        <f t="shared" si="22"/>
        <v>4000</v>
      </c>
      <c r="M81" s="96">
        <f t="shared" si="22"/>
        <v>164125.1</v>
      </c>
      <c r="N81" s="96">
        <f t="shared" si="22"/>
        <v>9324.18</v>
      </c>
      <c r="O81" s="96">
        <f t="shared" si="22"/>
        <v>25214</v>
      </c>
      <c r="P81" s="96">
        <f t="shared" si="22"/>
        <v>223113.8</v>
      </c>
      <c r="Q81" s="202">
        <f>SUM(Q83:Q88)</f>
        <v>-177996.79999999999</v>
      </c>
    </row>
    <row r="82" spans="1:17" ht="32.25" thickBot="1" x14ac:dyDescent="0.3">
      <c r="A82" s="85">
        <v>2</v>
      </c>
      <c r="B82" s="85">
        <v>2</v>
      </c>
      <c r="C82" s="92">
        <v>7</v>
      </c>
      <c r="D82" s="85">
        <v>2</v>
      </c>
      <c r="E82" s="93"/>
      <c r="F82" s="104" t="s">
        <v>65</v>
      </c>
      <c r="G82" s="112">
        <f>SUM(G84:G87)</f>
        <v>45117</v>
      </c>
      <c r="H82" s="166">
        <f t="shared" ref="H82:Q82" si="23">SUM(H83:H87)</f>
        <v>19800.52</v>
      </c>
      <c r="I82" s="166" t="e">
        <f t="shared" si="23"/>
        <v>#REF!</v>
      </c>
      <c r="J82" s="166">
        <f t="shared" si="23"/>
        <v>650</v>
      </c>
      <c r="K82" s="166">
        <f t="shared" si="23"/>
        <v>0</v>
      </c>
      <c r="L82" s="166">
        <f t="shared" si="23"/>
        <v>4000</v>
      </c>
      <c r="M82" s="166">
        <f t="shared" si="23"/>
        <v>164125.1</v>
      </c>
      <c r="N82" s="166">
        <f t="shared" si="23"/>
        <v>9324.18</v>
      </c>
      <c r="O82" s="166">
        <f t="shared" si="23"/>
        <v>25214</v>
      </c>
      <c r="P82" s="166">
        <f t="shared" si="23"/>
        <v>223113.8</v>
      </c>
      <c r="Q82" s="213">
        <f t="shared" si="23"/>
        <v>-177996.79999999999</v>
      </c>
    </row>
    <row r="83" spans="1:17" ht="31.5" x14ac:dyDescent="0.25">
      <c r="A83" s="85">
        <v>2</v>
      </c>
      <c r="B83" s="85">
        <v>2</v>
      </c>
      <c r="C83" s="92">
        <v>7</v>
      </c>
      <c r="D83" s="85">
        <v>1</v>
      </c>
      <c r="E83" s="119">
        <v>2</v>
      </c>
      <c r="F83" s="126" t="s">
        <v>66</v>
      </c>
      <c r="G83" s="125"/>
      <c r="H83" s="167"/>
      <c r="I83" s="12" t="e">
        <f>+G83-#REF!</f>
        <v>#REF!</v>
      </c>
      <c r="J83" s="167"/>
      <c r="K83" s="167"/>
      <c r="L83" s="167">
        <f>2000+1500</f>
        <v>3500</v>
      </c>
      <c r="M83" s="167">
        <v>164125.1</v>
      </c>
      <c r="N83" s="168">
        <v>9324.18</v>
      </c>
      <c r="O83" s="168"/>
      <c r="P83" s="182">
        <f>+H83+J83+K83+L83+M83+N83+O83</f>
        <v>176949.28</v>
      </c>
      <c r="Q83" s="207">
        <f>+G83-P83</f>
        <v>-176949.28</v>
      </c>
    </row>
    <row r="84" spans="1:17" ht="31.5" x14ac:dyDescent="0.25">
      <c r="A84" s="85">
        <v>2</v>
      </c>
      <c r="B84" s="85">
        <v>2</v>
      </c>
      <c r="C84" s="92">
        <v>7</v>
      </c>
      <c r="D84" s="85">
        <v>2</v>
      </c>
      <c r="E84" s="119">
        <v>2</v>
      </c>
      <c r="F84" s="126" t="s">
        <v>67</v>
      </c>
      <c r="G84" s="108">
        <v>9117</v>
      </c>
      <c r="H84" s="110">
        <v>0</v>
      </c>
      <c r="I84" s="12" t="e">
        <f>+G84-#REF!</f>
        <v>#REF!</v>
      </c>
      <c r="J84" s="110">
        <v>0</v>
      </c>
      <c r="K84" s="110"/>
      <c r="L84" s="110"/>
      <c r="M84" s="110"/>
      <c r="N84" s="110"/>
      <c r="O84" s="110">
        <v>23364</v>
      </c>
      <c r="P84" s="103">
        <f>+H84+J84+K84+L84+M84+N84+O84</f>
        <v>23364</v>
      </c>
      <c r="Q84" s="207">
        <f>+G84-P84</f>
        <v>-14247</v>
      </c>
    </row>
    <row r="85" spans="1:17" ht="31.5" x14ac:dyDescent="0.25">
      <c r="A85" s="85">
        <v>2</v>
      </c>
      <c r="B85" s="85">
        <v>2</v>
      </c>
      <c r="C85" s="92">
        <v>7</v>
      </c>
      <c r="D85" s="85">
        <v>2</v>
      </c>
      <c r="E85" s="119">
        <v>3</v>
      </c>
      <c r="F85" s="126" t="s">
        <v>68</v>
      </c>
      <c r="G85" s="108"/>
      <c r="H85" s="110">
        <f>G85*12</f>
        <v>0</v>
      </c>
      <c r="I85" s="12" t="e">
        <f>+G85-#REF!</f>
        <v>#REF!</v>
      </c>
      <c r="J85" s="110"/>
      <c r="K85" s="110"/>
      <c r="L85" s="110"/>
      <c r="M85" s="110"/>
      <c r="N85" s="110"/>
      <c r="O85" s="110"/>
      <c r="P85" s="103">
        <f>+H85+J85+K85+L85+M85+N85+O85</f>
        <v>0</v>
      </c>
      <c r="Q85" s="207">
        <f>+G85-P85</f>
        <v>0</v>
      </c>
    </row>
    <row r="86" spans="1:17" ht="31.5" x14ac:dyDescent="0.25">
      <c r="A86" s="85">
        <v>2</v>
      </c>
      <c r="B86" s="85">
        <v>2</v>
      </c>
      <c r="C86" s="92">
        <v>7</v>
      </c>
      <c r="D86" s="85">
        <v>2</v>
      </c>
      <c r="E86" s="119">
        <v>4</v>
      </c>
      <c r="F86" s="126" t="s">
        <v>69</v>
      </c>
      <c r="G86" s="108">
        <v>24000</v>
      </c>
      <c r="H86" s="110"/>
      <c r="I86" s="12" t="e">
        <f>+G86-#REF!</f>
        <v>#REF!</v>
      </c>
      <c r="J86" s="110"/>
      <c r="K86" s="110"/>
      <c r="L86" s="110"/>
      <c r="M86" s="110"/>
      <c r="N86" s="110"/>
      <c r="O86" s="110"/>
      <c r="P86" s="103">
        <f>+H86+J86+K86+L86+M86+N86+O86</f>
        <v>0</v>
      </c>
      <c r="Q86" s="207">
        <f>+G86-P86</f>
        <v>24000</v>
      </c>
    </row>
    <row r="87" spans="1:17" ht="47.25" x14ac:dyDescent="0.25">
      <c r="A87" s="85">
        <v>2</v>
      </c>
      <c r="B87" s="85">
        <v>2</v>
      </c>
      <c r="C87" s="92">
        <v>7</v>
      </c>
      <c r="D87" s="85">
        <v>2</v>
      </c>
      <c r="E87" s="119">
        <v>6</v>
      </c>
      <c r="F87" s="126" t="s">
        <v>70</v>
      </c>
      <c r="G87" s="108">
        <v>12000</v>
      </c>
      <c r="H87" s="110">
        <f>9670.1+9530.42+600</f>
        <v>19800.52</v>
      </c>
      <c r="I87" s="12" t="e">
        <f>+G87-#REF!</f>
        <v>#REF!</v>
      </c>
      <c r="J87" s="110">
        <v>650</v>
      </c>
      <c r="K87" s="110"/>
      <c r="L87" s="110">
        <v>500</v>
      </c>
      <c r="M87" s="167"/>
      <c r="N87" s="167"/>
      <c r="O87" s="167">
        <f>600+600+650</f>
        <v>1850</v>
      </c>
      <c r="P87" s="103">
        <f>+H87+J87+K87+L87+M87+N87+O87</f>
        <v>22800.52</v>
      </c>
      <c r="Q87" s="207">
        <f>+G87-P87</f>
        <v>-10800.52</v>
      </c>
    </row>
    <row r="88" spans="1:17" ht="15.75" x14ac:dyDescent="0.25">
      <c r="A88" s="85"/>
      <c r="B88" s="85"/>
      <c r="C88" s="92"/>
      <c r="D88" s="85"/>
      <c r="E88" s="119"/>
      <c r="F88" s="106"/>
      <c r="G88" s="108"/>
      <c r="H88" s="110"/>
      <c r="I88" s="12"/>
      <c r="J88" s="110"/>
      <c r="K88" s="110"/>
      <c r="L88" s="110"/>
      <c r="M88" s="110"/>
      <c r="N88" s="110"/>
      <c r="O88" s="110"/>
      <c r="P88" s="110"/>
      <c r="Q88" s="207"/>
    </row>
    <row r="89" spans="1:17" ht="16.5" thickBot="1" x14ac:dyDescent="0.3">
      <c r="A89" s="85">
        <v>2</v>
      </c>
      <c r="B89" s="85">
        <v>2</v>
      </c>
      <c r="C89" s="92">
        <v>8</v>
      </c>
      <c r="D89" s="85"/>
      <c r="E89" s="93"/>
      <c r="F89" s="104" t="s">
        <v>71</v>
      </c>
      <c r="G89" s="125">
        <f>SUM(G90+G91)+G93+G97</f>
        <v>4392936</v>
      </c>
      <c r="H89" s="96">
        <f>H90+H91+H93+H97</f>
        <v>256177.13999999998</v>
      </c>
      <c r="I89" s="6" t="e">
        <f t="shared" ref="I89:Q89" si="24">I90+I91+I93+I97</f>
        <v>#REF!</v>
      </c>
      <c r="J89" s="96">
        <f t="shared" si="24"/>
        <v>436592.42</v>
      </c>
      <c r="K89" s="96">
        <f t="shared" si="24"/>
        <v>418896.86999999994</v>
      </c>
      <c r="L89" s="96">
        <f t="shared" si="24"/>
        <v>742049.15</v>
      </c>
      <c r="M89" s="96">
        <f t="shared" si="24"/>
        <v>558299.6</v>
      </c>
      <c r="N89" s="105">
        <f t="shared" si="24"/>
        <v>541933.75000000012</v>
      </c>
      <c r="O89" s="105">
        <f t="shared" si="24"/>
        <v>549163.19999999995</v>
      </c>
      <c r="P89" s="105">
        <f t="shared" si="24"/>
        <v>3503112.13</v>
      </c>
      <c r="Q89" s="202">
        <f t="shared" si="24"/>
        <v>889823.87000000011</v>
      </c>
    </row>
    <row r="90" spans="1:17" ht="15.75" x14ac:dyDescent="0.25">
      <c r="A90" s="85">
        <v>2</v>
      </c>
      <c r="B90" s="85">
        <v>2</v>
      </c>
      <c r="C90" s="92">
        <v>8</v>
      </c>
      <c r="D90" s="85">
        <v>2</v>
      </c>
      <c r="E90" s="119"/>
      <c r="F90" s="127" t="s">
        <v>72</v>
      </c>
      <c r="G90" s="107">
        <v>102000</v>
      </c>
      <c r="H90" s="109">
        <v>5155.28</v>
      </c>
      <c r="I90" s="13" t="e">
        <f>+G90-#REF!</f>
        <v>#REF!</v>
      </c>
      <c r="J90" s="109">
        <v>4982.54</v>
      </c>
      <c r="K90" s="109">
        <v>5146.79</v>
      </c>
      <c r="L90" s="109">
        <v>6349.16</v>
      </c>
      <c r="M90" s="109">
        <v>6493.55</v>
      </c>
      <c r="N90" s="110">
        <v>10422.81</v>
      </c>
      <c r="O90" s="110">
        <f>120+6385.2</f>
        <v>6505.2</v>
      </c>
      <c r="P90" s="103">
        <f>+H90+J90+K90+L90+M90+N90+O90</f>
        <v>45055.329999999994</v>
      </c>
      <c r="Q90" s="208">
        <f>+G90-P90</f>
        <v>56944.670000000006</v>
      </c>
    </row>
    <row r="91" spans="1:17" ht="31.5" x14ac:dyDescent="0.25">
      <c r="A91" s="85">
        <v>2</v>
      </c>
      <c r="B91" s="85">
        <v>2</v>
      </c>
      <c r="C91" s="92">
        <v>8</v>
      </c>
      <c r="D91" s="85">
        <v>4</v>
      </c>
      <c r="E91" s="85"/>
      <c r="F91" s="127" t="s">
        <v>73</v>
      </c>
      <c r="G91" s="108">
        <v>0</v>
      </c>
      <c r="H91" s="110">
        <v>0</v>
      </c>
      <c r="I91" s="12">
        <v>0</v>
      </c>
      <c r="J91" s="110">
        <v>0</v>
      </c>
      <c r="K91" s="110"/>
      <c r="L91" s="110">
        <v>11800</v>
      </c>
      <c r="M91" s="110"/>
      <c r="N91" s="110"/>
      <c r="O91" s="110"/>
      <c r="P91" s="103">
        <f>+H91+J91+K91+L91+M91+N91+O91</f>
        <v>11800</v>
      </c>
      <c r="Q91" s="207">
        <f>+G91-P91</f>
        <v>-11800</v>
      </c>
    </row>
    <row r="92" spans="1:17" ht="15.75" x14ac:dyDescent="0.25">
      <c r="A92" s="85"/>
      <c r="B92" s="85"/>
      <c r="C92" s="92"/>
      <c r="D92" s="85"/>
      <c r="E92" s="85"/>
      <c r="F92" s="127"/>
      <c r="G92" s="108"/>
      <c r="H92" s="110"/>
      <c r="I92" s="12"/>
      <c r="J92" s="110"/>
      <c r="K92" s="110"/>
      <c r="L92" s="110"/>
      <c r="M92" s="110"/>
      <c r="N92" s="110"/>
      <c r="O92" s="110"/>
      <c r="P92" s="110"/>
      <c r="Q92" s="207"/>
    </row>
    <row r="93" spans="1:17" ht="32.25" thickBot="1" x14ac:dyDescent="0.3">
      <c r="A93" s="85">
        <v>2</v>
      </c>
      <c r="B93" s="85">
        <v>2</v>
      </c>
      <c r="C93" s="92">
        <v>8</v>
      </c>
      <c r="D93" s="85">
        <v>6</v>
      </c>
      <c r="E93" s="93"/>
      <c r="F93" s="128" t="s">
        <v>74</v>
      </c>
      <c r="G93" s="125">
        <f t="shared" ref="G93:Q93" si="25">G94+G95</f>
        <v>1894000</v>
      </c>
      <c r="H93" s="117">
        <f t="shared" si="25"/>
        <v>0</v>
      </c>
      <c r="I93" s="19" t="e">
        <f t="shared" si="25"/>
        <v>#REF!</v>
      </c>
      <c r="J93" s="117">
        <f t="shared" si="25"/>
        <v>0</v>
      </c>
      <c r="K93" s="117">
        <f t="shared" si="25"/>
        <v>0</v>
      </c>
      <c r="L93" s="117">
        <f t="shared" si="25"/>
        <v>2555</v>
      </c>
      <c r="M93" s="117">
        <f t="shared" si="25"/>
        <v>20746.650000000001</v>
      </c>
      <c r="N93" s="117">
        <f t="shared" si="25"/>
        <v>0</v>
      </c>
      <c r="O93" s="117">
        <f t="shared" si="25"/>
        <v>30550</v>
      </c>
      <c r="P93" s="117">
        <f t="shared" si="25"/>
        <v>53851.65</v>
      </c>
      <c r="Q93" s="211">
        <f t="shared" si="25"/>
        <v>1840148.35</v>
      </c>
    </row>
    <row r="94" spans="1:17" ht="15.75" x14ac:dyDescent="0.25">
      <c r="A94" s="85">
        <v>2</v>
      </c>
      <c r="B94" s="85">
        <v>2</v>
      </c>
      <c r="C94" s="92">
        <v>8</v>
      </c>
      <c r="D94" s="85">
        <v>6</v>
      </c>
      <c r="E94" s="85">
        <v>1</v>
      </c>
      <c r="F94" s="127" t="s">
        <v>75</v>
      </c>
      <c r="G94" s="107">
        <v>1882000</v>
      </c>
      <c r="H94" s="109">
        <v>0</v>
      </c>
      <c r="I94" s="12" t="e">
        <f>+G94-#REF!</f>
        <v>#REF!</v>
      </c>
      <c r="J94" s="109">
        <v>0</v>
      </c>
      <c r="K94" s="109"/>
      <c r="L94" s="109"/>
      <c r="M94" s="109"/>
      <c r="N94" s="110"/>
      <c r="O94" s="110"/>
      <c r="P94" s="103">
        <f>+H94+J94+K94+L94+M94+N94+O94</f>
        <v>0</v>
      </c>
      <c r="Q94" s="207">
        <f>+G94-P94</f>
        <v>1882000</v>
      </c>
    </row>
    <row r="95" spans="1:17" ht="15.75" x14ac:dyDescent="0.25">
      <c r="A95" s="85">
        <v>2</v>
      </c>
      <c r="B95" s="85">
        <v>2</v>
      </c>
      <c r="C95" s="92">
        <v>8</v>
      </c>
      <c r="D95" s="85">
        <v>6</v>
      </c>
      <c r="E95" s="85">
        <v>2</v>
      </c>
      <c r="F95" s="127" t="s">
        <v>76</v>
      </c>
      <c r="G95" s="108">
        <v>12000</v>
      </c>
      <c r="H95" s="110"/>
      <c r="I95" s="12" t="e">
        <f>+G95-#REF!</f>
        <v>#REF!</v>
      </c>
      <c r="J95" s="110"/>
      <c r="K95" s="110"/>
      <c r="L95" s="110">
        <f>2175+380</f>
        <v>2555</v>
      </c>
      <c r="M95" s="110">
        <f>15620+529.95+1644.7+120+2832</f>
        <v>20746.650000000001</v>
      </c>
      <c r="N95" s="110"/>
      <c r="O95" s="110">
        <f>25900+400+4250</f>
        <v>30550</v>
      </c>
      <c r="P95" s="103">
        <f>+H95+J95+K95+L95+M95+N95+O95</f>
        <v>53851.65</v>
      </c>
      <c r="Q95" s="207">
        <f>+G95-P95</f>
        <v>-41851.65</v>
      </c>
    </row>
    <row r="96" spans="1:17" ht="15.75" x14ac:dyDescent="0.25">
      <c r="A96" s="85"/>
      <c r="B96" s="85"/>
      <c r="C96" s="92"/>
      <c r="D96" s="85"/>
      <c r="E96" s="85"/>
      <c r="F96" s="127"/>
      <c r="G96" s="108"/>
      <c r="H96" s="110">
        <v>0</v>
      </c>
      <c r="I96" s="12">
        <v>0</v>
      </c>
      <c r="J96" s="110">
        <v>0</v>
      </c>
      <c r="K96" s="110"/>
      <c r="L96" s="110"/>
      <c r="M96" s="110"/>
      <c r="N96" s="110"/>
      <c r="O96" s="110"/>
      <c r="P96" s="110"/>
      <c r="Q96" s="207"/>
    </row>
    <row r="97" spans="1:17" ht="32.25" thickBot="1" x14ac:dyDescent="0.3">
      <c r="A97" s="85">
        <v>2</v>
      </c>
      <c r="B97" s="85">
        <v>2</v>
      </c>
      <c r="C97" s="92">
        <v>8</v>
      </c>
      <c r="D97" s="85">
        <v>7</v>
      </c>
      <c r="E97" s="93"/>
      <c r="F97" s="128" t="s">
        <v>77</v>
      </c>
      <c r="G97" s="129">
        <f t="shared" ref="G97:Q97" si="26">G98+G99+G100+G101+G102</f>
        <v>2396936</v>
      </c>
      <c r="H97" s="118">
        <f t="shared" si="26"/>
        <v>251021.86</v>
      </c>
      <c r="I97" s="6" t="e">
        <f t="shared" si="26"/>
        <v>#REF!</v>
      </c>
      <c r="J97" s="118">
        <f t="shared" si="26"/>
        <v>431609.88</v>
      </c>
      <c r="K97" s="118">
        <f t="shared" si="26"/>
        <v>413750.07999999996</v>
      </c>
      <c r="L97" s="118">
        <f>L98+L99+L100+L101+L102</f>
        <v>721344.99</v>
      </c>
      <c r="M97" s="118">
        <f>M98+M99+M100+M101+M102</f>
        <v>531059.4</v>
      </c>
      <c r="N97" s="118">
        <f>N98+N99+N100+N101+N102</f>
        <v>531510.94000000006</v>
      </c>
      <c r="O97" s="118">
        <f>O98+O99+O100+O101+O102</f>
        <v>512108</v>
      </c>
      <c r="P97" s="118">
        <f t="shared" si="26"/>
        <v>3392405.15</v>
      </c>
      <c r="Q97" s="202">
        <f t="shared" si="26"/>
        <v>-995469.14999999991</v>
      </c>
    </row>
    <row r="98" spans="1:17" ht="31.5" x14ac:dyDescent="0.25">
      <c r="A98" s="85">
        <v>2</v>
      </c>
      <c r="B98" s="85">
        <v>2</v>
      </c>
      <c r="C98" s="92">
        <v>8</v>
      </c>
      <c r="D98" s="85">
        <v>7</v>
      </c>
      <c r="E98" s="85">
        <v>1</v>
      </c>
      <c r="F98" s="106" t="s">
        <v>78</v>
      </c>
      <c r="G98" s="108">
        <v>500000</v>
      </c>
      <c r="H98" s="110">
        <v>0</v>
      </c>
      <c r="I98" s="13" t="e">
        <f>+G98-#REF!</f>
        <v>#REF!</v>
      </c>
      <c r="J98" s="110">
        <v>0</v>
      </c>
      <c r="K98" s="110"/>
      <c r="L98" s="110"/>
      <c r="M98" s="110"/>
      <c r="N98" s="110"/>
      <c r="O98" s="110"/>
      <c r="P98" s="103">
        <f>+H98+J98+K98+L98+M98+N98+O98</f>
        <v>0</v>
      </c>
      <c r="Q98" s="208">
        <f>+G98-P98</f>
        <v>500000</v>
      </c>
    </row>
    <row r="99" spans="1:17" ht="31.5" x14ac:dyDescent="0.25">
      <c r="A99" s="85">
        <v>2</v>
      </c>
      <c r="B99" s="85">
        <v>2</v>
      </c>
      <c r="C99" s="92">
        <v>8</v>
      </c>
      <c r="D99" s="85">
        <v>7</v>
      </c>
      <c r="E99" s="119">
        <v>3</v>
      </c>
      <c r="F99" s="106" t="s">
        <v>79</v>
      </c>
      <c r="G99" s="108">
        <v>300000</v>
      </c>
      <c r="H99" s="110"/>
      <c r="I99" s="24" t="e">
        <f>+G99-#REF!</f>
        <v>#REF!</v>
      </c>
      <c r="J99" s="110"/>
      <c r="K99" s="110">
        <v>48000</v>
      </c>
      <c r="L99" s="110"/>
      <c r="M99" s="110">
        <v>192000</v>
      </c>
      <c r="N99" s="110"/>
      <c r="O99" s="110"/>
      <c r="P99" s="103">
        <f>+H99+J99+K99+L99+M99+N99+O99</f>
        <v>240000</v>
      </c>
      <c r="Q99" s="214">
        <f>+G99-P99</f>
        <v>60000</v>
      </c>
    </row>
    <row r="100" spans="1:17" ht="15.75" x14ac:dyDescent="0.25">
      <c r="A100" s="85">
        <v>2</v>
      </c>
      <c r="B100" s="85">
        <v>2</v>
      </c>
      <c r="C100" s="92">
        <v>8</v>
      </c>
      <c r="D100" s="85">
        <v>7</v>
      </c>
      <c r="E100" s="85">
        <v>4</v>
      </c>
      <c r="F100" s="106" t="s">
        <v>80</v>
      </c>
      <c r="G100" s="108"/>
      <c r="H100" s="110">
        <v>10000</v>
      </c>
      <c r="I100" s="24" t="e">
        <f>+G100-#REF!</f>
        <v>#REF!</v>
      </c>
      <c r="J100" s="110"/>
      <c r="K100" s="110">
        <v>5000</v>
      </c>
      <c r="L100" s="110">
        <v>16640</v>
      </c>
      <c r="M100" s="110">
        <v>11700</v>
      </c>
      <c r="N100" s="110"/>
      <c r="O100" s="110"/>
      <c r="P100" s="103">
        <f>+H100+J100+K100+L100+M100+N100+O100</f>
        <v>43340</v>
      </c>
      <c r="Q100" s="214">
        <f>+G100-P100</f>
        <v>-43340</v>
      </c>
    </row>
    <row r="101" spans="1:17" ht="31.5" x14ac:dyDescent="0.25">
      <c r="A101" s="85">
        <v>2</v>
      </c>
      <c r="B101" s="85">
        <v>2</v>
      </c>
      <c r="C101" s="92">
        <v>8</v>
      </c>
      <c r="D101" s="85">
        <v>7</v>
      </c>
      <c r="E101" s="85">
        <v>5</v>
      </c>
      <c r="F101" s="106" t="s">
        <v>81</v>
      </c>
      <c r="G101" s="108">
        <v>12000</v>
      </c>
      <c r="H101" s="110">
        <v>3233.36</v>
      </c>
      <c r="I101" s="24" t="e">
        <f>+G101-#REF!</f>
        <v>#REF!</v>
      </c>
      <c r="J101" s="110"/>
      <c r="K101" s="110">
        <v>5655.28</v>
      </c>
      <c r="L101" s="110">
        <v>51829.599999999999</v>
      </c>
      <c r="M101" s="110">
        <v>4770.8999999999996</v>
      </c>
      <c r="N101" s="110">
        <v>4811.3999999999996</v>
      </c>
      <c r="O101" s="110">
        <f>4819.5</f>
        <v>4819.5</v>
      </c>
      <c r="P101" s="103">
        <f>+H101+J101+K101+L101+M101+N101+O101</f>
        <v>75120.039999999994</v>
      </c>
      <c r="Q101" s="214">
        <f>+G101-P101</f>
        <v>-63120.039999999994</v>
      </c>
    </row>
    <row r="102" spans="1:17" ht="31.5" x14ac:dyDescent="0.25">
      <c r="A102" s="85">
        <v>2</v>
      </c>
      <c r="B102" s="85">
        <v>2</v>
      </c>
      <c r="C102" s="92">
        <v>8</v>
      </c>
      <c r="D102" s="85">
        <v>7</v>
      </c>
      <c r="E102" s="85">
        <v>6</v>
      </c>
      <c r="F102" s="106" t="s">
        <v>82</v>
      </c>
      <c r="G102" s="108">
        <v>1584936</v>
      </c>
      <c r="H102" s="110">
        <f>38200+11800+43563+144225.5</f>
        <v>237788.5</v>
      </c>
      <c r="I102" s="24" t="e">
        <f>+G102-#REF!</f>
        <v>#REF!</v>
      </c>
      <c r="J102" s="110">
        <f>12000+21240+177541.38+11800+144225.5+43563+21240</f>
        <v>431609.88</v>
      </c>
      <c r="K102" s="110">
        <f>10620+26886.3+118000+11800+144225.5+43563</f>
        <v>355094.8</v>
      </c>
      <c r="L102" s="110">
        <f>29500+110963.37+6608+42480+90935.52+144225.5+11800+118000+43563+54800</f>
        <v>652875.39</v>
      </c>
      <c r="M102" s="110">
        <f>5000+43563+144225.5+118000+11800</f>
        <v>322588.5</v>
      </c>
      <c r="N102" s="110">
        <f>11800+118000+43563+5000+181871.04+144225.5+1000+21240</f>
        <v>526699.54</v>
      </c>
      <c r="O102" s="110">
        <f>31350+14750+144225.5+11800+118000+1000+1000+43563+141600</f>
        <v>507288.5</v>
      </c>
      <c r="P102" s="103">
        <f>+H102+J102+K102+L102+M102+N102+O102</f>
        <v>3033945.11</v>
      </c>
      <c r="Q102" s="214">
        <f>+G102-P102</f>
        <v>-1449009.1099999999</v>
      </c>
    </row>
    <row r="103" spans="1:17" ht="16.5" thickBot="1" x14ac:dyDescent="0.3">
      <c r="A103" s="85"/>
      <c r="B103" s="85"/>
      <c r="C103" s="92"/>
      <c r="D103" s="85"/>
      <c r="E103" s="85"/>
      <c r="F103" s="106"/>
      <c r="G103" s="111"/>
      <c r="H103" s="117"/>
      <c r="I103" s="19"/>
      <c r="J103" s="117"/>
      <c r="K103" s="117"/>
      <c r="L103" s="117"/>
      <c r="M103" s="117"/>
      <c r="N103" s="117"/>
      <c r="O103" s="117"/>
      <c r="P103" s="117"/>
      <c r="Q103" s="211"/>
    </row>
    <row r="104" spans="1:17" ht="32.25" thickBot="1" x14ac:dyDescent="0.3">
      <c r="A104" s="85">
        <v>2</v>
      </c>
      <c r="B104" s="85">
        <v>2</v>
      </c>
      <c r="C104" s="92">
        <v>9</v>
      </c>
      <c r="D104" s="85"/>
      <c r="E104" s="85"/>
      <c r="F104" s="104" t="s">
        <v>83</v>
      </c>
      <c r="G104" s="100">
        <f>G105+G106</f>
        <v>12000</v>
      </c>
      <c r="H104" s="168">
        <f t="shared" ref="H104:Q104" si="27">H105+H106</f>
        <v>33893.49</v>
      </c>
      <c r="I104" s="25" t="e">
        <f t="shared" si="27"/>
        <v>#REF!</v>
      </c>
      <c r="J104" s="168">
        <f t="shared" si="27"/>
        <v>47097.1</v>
      </c>
      <c r="K104" s="168">
        <f t="shared" si="27"/>
        <v>15197.85</v>
      </c>
      <c r="L104" s="168">
        <f>L105+L106</f>
        <v>103340.88</v>
      </c>
      <c r="M104" s="168">
        <f>M105+M106</f>
        <v>5899.8</v>
      </c>
      <c r="N104" s="168">
        <f>N105+N106</f>
        <v>87945</v>
      </c>
      <c r="O104" s="168">
        <f>O105+O106</f>
        <v>11356</v>
      </c>
      <c r="P104" s="168">
        <f>P105+P106</f>
        <v>304730.12</v>
      </c>
      <c r="Q104" s="215">
        <f t="shared" si="27"/>
        <v>-292730.12</v>
      </c>
    </row>
    <row r="105" spans="1:17" ht="16.5" thickBot="1" x14ac:dyDescent="0.3">
      <c r="A105" s="85">
        <v>2</v>
      </c>
      <c r="B105" s="85">
        <v>2</v>
      </c>
      <c r="C105" s="92">
        <v>9</v>
      </c>
      <c r="D105" s="85">
        <v>2</v>
      </c>
      <c r="E105" s="85"/>
      <c r="F105" s="127" t="s">
        <v>84</v>
      </c>
      <c r="G105" s="97"/>
      <c r="H105" s="130"/>
      <c r="I105" s="26" t="e">
        <f>+G105-#REF!</f>
        <v>#REF!</v>
      </c>
      <c r="J105" s="130"/>
      <c r="K105" s="130"/>
      <c r="L105" s="130"/>
      <c r="M105" s="130"/>
      <c r="N105" s="130"/>
      <c r="O105" s="130"/>
      <c r="P105" s="130"/>
      <c r="Q105" s="216"/>
    </row>
    <row r="106" spans="1:17" ht="15.75" x14ac:dyDescent="0.25">
      <c r="A106" s="85">
        <v>2</v>
      </c>
      <c r="B106" s="85">
        <v>2</v>
      </c>
      <c r="C106" s="92">
        <v>9</v>
      </c>
      <c r="D106" s="85">
        <v>2</v>
      </c>
      <c r="E106" s="85">
        <v>1</v>
      </c>
      <c r="F106" s="106" t="s">
        <v>84</v>
      </c>
      <c r="G106" s="108">
        <v>12000</v>
      </c>
      <c r="H106" s="110">
        <f>2066.99+300+175+300+275+175+300+300+30001.5</f>
        <v>33893.49</v>
      </c>
      <c r="I106" s="12" t="e">
        <f>+G106-#REF!</f>
        <v>#REF!</v>
      </c>
      <c r="J106" s="110">
        <f>300+175+145+791.7+400+470+750+475+400+100+265+12823.9+30001.5</f>
        <v>47097.1</v>
      </c>
      <c r="K106" s="110">
        <f>3872+8791+375+245+300+759.85+300+80+475</f>
        <v>15197.85</v>
      </c>
      <c r="L106" s="110">
        <f>9513.6+315+400+315+175+315+1087.28+315+350+385+89680+315+175</f>
        <v>103340.88</v>
      </c>
      <c r="M106" s="110">
        <f>639.8+175+315+310+300+485+475+300+2900</f>
        <v>5899.8</v>
      </c>
      <c r="N106" s="110">
        <f>84075+380+2210+300+300+300+380</f>
        <v>87945</v>
      </c>
      <c r="O106" s="110">
        <f>175+410+200+8850+100+300+300+364+175+272+204+6</f>
        <v>11356</v>
      </c>
      <c r="P106" s="103">
        <f>+H106+J106+K106+L106+M106+N106+O106</f>
        <v>304730.12</v>
      </c>
      <c r="Q106" s="207">
        <f>+G106-P106</f>
        <v>-292730.12</v>
      </c>
    </row>
    <row r="107" spans="1:17" ht="15.75" x14ac:dyDescent="0.25">
      <c r="A107" s="85"/>
      <c r="B107" s="85"/>
      <c r="C107" s="92"/>
      <c r="D107" s="85"/>
      <c r="E107" s="85"/>
      <c r="F107" s="106"/>
      <c r="G107" s="108"/>
      <c r="H107" s="110"/>
      <c r="I107" s="12"/>
      <c r="J107" s="110"/>
      <c r="K107" s="110"/>
      <c r="L107" s="110"/>
      <c r="M107" s="110"/>
      <c r="N107" s="110"/>
      <c r="O107" s="110"/>
      <c r="P107" s="110"/>
      <c r="Q107" s="207"/>
    </row>
    <row r="108" spans="1:17" ht="16.5" thickBot="1" x14ac:dyDescent="0.3">
      <c r="A108" s="85">
        <v>2</v>
      </c>
      <c r="B108" s="85">
        <v>3</v>
      </c>
      <c r="C108" s="92"/>
      <c r="D108" s="85"/>
      <c r="E108" s="93"/>
      <c r="F108" s="104" t="s">
        <v>85</v>
      </c>
      <c r="G108" s="95">
        <f>G109+G113+G116+G122+G126+G134</f>
        <v>729304</v>
      </c>
      <c r="H108" s="165">
        <f>H109+H113+H116+H122+H126+H134</f>
        <v>85512.01</v>
      </c>
      <c r="I108" s="165" t="e">
        <f t="shared" ref="I108:Q108" si="28">I109+I113+I116+I122+I126+I134</f>
        <v>#REF!</v>
      </c>
      <c r="J108" s="165">
        <f t="shared" si="28"/>
        <v>77786.3</v>
      </c>
      <c r="K108" s="165">
        <f t="shared" si="28"/>
        <v>60480</v>
      </c>
      <c r="L108" s="165">
        <f t="shared" si="28"/>
        <v>127356.73999999999</v>
      </c>
      <c r="M108" s="165">
        <f t="shared" si="28"/>
        <v>91216.950000000012</v>
      </c>
      <c r="N108" s="165">
        <f t="shared" si="28"/>
        <v>747.85</v>
      </c>
      <c r="O108" s="165">
        <f t="shared" si="28"/>
        <v>309611.44999999995</v>
      </c>
      <c r="P108" s="165">
        <f t="shared" si="28"/>
        <v>752711.29999999993</v>
      </c>
      <c r="Q108" s="201">
        <f t="shared" si="28"/>
        <v>65988.780000000013</v>
      </c>
    </row>
    <row r="109" spans="1:17" ht="32.25" thickBot="1" x14ac:dyDescent="0.3">
      <c r="A109" s="85">
        <v>2</v>
      </c>
      <c r="B109" s="85">
        <v>3</v>
      </c>
      <c r="C109" s="92">
        <v>1</v>
      </c>
      <c r="D109" s="85"/>
      <c r="E109" s="93"/>
      <c r="F109" s="131" t="s">
        <v>86</v>
      </c>
      <c r="G109" s="112">
        <f t="shared" ref="G109:O109" si="29">G110</f>
        <v>0</v>
      </c>
      <c r="H109" s="113">
        <f t="shared" si="29"/>
        <v>0</v>
      </c>
      <c r="I109" s="15">
        <f t="shared" si="29"/>
        <v>0</v>
      </c>
      <c r="J109" s="113">
        <f t="shared" si="29"/>
        <v>0</v>
      </c>
      <c r="K109" s="113">
        <f t="shared" si="29"/>
        <v>0</v>
      </c>
      <c r="L109" s="113">
        <f t="shared" si="29"/>
        <v>0</v>
      </c>
      <c r="M109" s="113">
        <f t="shared" si="29"/>
        <v>0</v>
      </c>
      <c r="N109" s="113">
        <f t="shared" si="29"/>
        <v>0</v>
      </c>
      <c r="O109" s="113">
        <f t="shared" si="29"/>
        <v>0</v>
      </c>
      <c r="P109" s="113">
        <f>P110</f>
        <v>0</v>
      </c>
      <c r="Q109" s="209">
        <f>Q110</f>
        <v>0</v>
      </c>
    </row>
    <row r="110" spans="1:17" ht="31.5" x14ac:dyDescent="0.25">
      <c r="A110" s="85">
        <v>2</v>
      </c>
      <c r="B110" s="85">
        <v>3</v>
      </c>
      <c r="C110" s="92">
        <v>1</v>
      </c>
      <c r="D110" s="85">
        <v>1</v>
      </c>
      <c r="E110" s="93"/>
      <c r="F110" s="132" t="s">
        <v>87</v>
      </c>
      <c r="G110" s="108">
        <f>G111</f>
        <v>0</v>
      </c>
      <c r="H110" s="103"/>
      <c r="I110" s="9"/>
      <c r="J110" s="103"/>
      <c r="K110" s="103"/>
      <c r="L110" s="103"/>
      <c r="M110" s="103"/>
      <c r="N110" s="182"/>
      <c r="O110" s="182"/>
      <c r="P110" s="182">
        <f>+H110+J110+K110+L110+M110+N110+O110</f>
        <v>0</v>
      </c>
      <c r="Q110" s="205"/>
    </row>
    <row r="111" spans="1:17" ht="31.5" x14ac:dyDescent="0.25">
      <c r="A111" s="85">
        <v>2</v>
      </c>
      <c r="B111" s="85">
        <v>3</v>
      </c>
      <c r="C111" s="92">
        <v>1</v>
      </c>
      <c r="D111" s="85">
        <v>1</v>
      </c>
      <c r="E111" s="93">
        <v>1</v>
      </c>
      <c r="F111" s="132" t="s">
        <v>87</v>
      </c>
      <c r="G111" s="108"/>
      <c r="H111" s="110">
        <v>0</v>
      </c>
      <c r="I111" s="12">
        <v>0</v>
      </c>
      <c r="J111" s="110">
        <v>0</v>
      </c>
      <c r="K111" s="110"/>
      <c r="L111" s="110"/>
      <c r="M111" s="110"/>
      <c r="N111" s="110"/>
      <c r="O111" s="110"/>
      <c r="P111" s="103">
        <f>+H111+J111+K111+L111+M111+N111+O111</f>
        <v>0</v>
      </c>
      <c r="Q111" s="207">
        <v>0</v>
      </c>
    </row>
    <row r="112" spans="1:17" ht="15.75" x14ac:dyDescent="0.25">
      <c r="A112" s="85"/>
      <c r="B112" s="85"/>
      <c r="C112" s="92"/>
      <c r="D112" s="85"/>
      <c r="E112" s="93"/>
      <c r="F112" s="131"/>
      <c r="G112" s="108"/>
      <c r="H112" s="110"/>
      <c r="I112" s="12"/>
      <c r="J112" s="110"/>
      <c r="K112" s="110"/>
      <c r="L112" s="110"/>
      <c r="M112" s="110"/>
      <c r="N112" s="110"/>
      <c r="O112" s="110"/>
      <c r="P112" s="110"/>
      <c r="Q112" s="207"/>
    </row>
    <row r="113" spans="1:17" ht="16.5" thickBot="1" x14ac:dyDescent="0.3">
      <c r="A113" s="85">
        <v>2</v>
      </c>
      <c r="B113" s="85">
        <v>3</v>
      </c>
      <c r="C113" s="92">
        <v>2</v>
      </c>
      <c r="D113" s="85"/>
      <c r="E113" s="93"/>
      <c r="F113" s="131" t="s">
        <v>88</v>
      </c>
      <c r="G113" s="108"/>
      <c r="H113" s="110">
        <f t="shared" ref="H113:Q113" si="30">H114</f>
        <v>0</v>
      </c>
      <c r="I113" s="12">
        <f t="shared" si="30"/>
        <v>0</v>
      </c>
      <c r="J113" s="110">
        <f t="shared" si="30"/>
        <v>0</v>
      </c>
      <c r="K113" s="110">
        <f t="shared" si="30"/>
        <v>0</v>
      </c>
      <c r="L113" s="110">
        <f t="shared" si="30"/>
        <v>0</v>
      </c>
      <c r="M113" s="110">
        <f t="shared" si="30"/>
        <v>0</v>
      </c>
      <c r="N113" s="117">
        <f t="shared" si="30"/>
        <v>0</v>
      </c>
      <c r="O113" s="117">
        <f t="shared" si="30"/>
        <v>0</v>
      </c>
      <c r="P113" s="117">
        <f t="shared" si="30"/>
        <v>0</v>
      </c>
      <c r="Q113" s="207">
        <f t="shared" si="30"/>
        <v>0</v>
      </c>
    </row>
    <row r="114" spans="1:17" ht="15.75" x14ac:dyDescent="0.25">
      <c r="A114" s="85">
        <v>2</v>
      </c>
      <c r="B114" s="85">
        <v>3</v>
      </c>
      <c r="C114" s="92">
        <v>2</v>
      </c>
      <c r="D114" s="85">
        <v>3</v>
      </c>
      <c r="E114" s="93"/>
      <c r="F114" s="132" t="s">
        <v>89</v>
      </c>
      <c r="G114" s="107"/>
      <c r="H114" s="109">
        <v>0</v>
      </c>
      <c r="I114" s="13">
        <v>0</v>
      </c>
      <c r="J114" s="109">
        <v>0</v>
      </c>
      <c r="K114" s="109"/>
      <c r="L114" s="109"/>
      <c r="M114" s="109"/>
      <c r="N114" s="110"/>
      <c r="O114" s="110"/>
      <c r="P114" s="103">
        <f>+H114+J114+K114+L114+M114+N114+O114</f>
        <v>0</v>
      </c>
      <c r="Q114" s="208">
        <v>0</v>
      </c>
    </row>
    <row r="115" spans="1:17" s="17" customFormat="1" ht="15.75" x14ac:dyDescent="0.25">
      <c r="A115" s="85"/>
      <c r="B115" s="85"/>
      <c r="C115" s="92"/>
      <c r="D115" s="85"/>
      <c r="E115" s="93"/>
      <c r="F115" s="131"/>
      <c r="G115" s="108"/>
      <c r="H115" s="103"/>
      <c r="I115" s="9"/>
      <c r="J115" s="103"/>
      <c r="K115" s="103"/>
      <c r="L115" s="103"/>
      <c r="M115" s="103"/>
      <c r="N115" s="103"/>
      <c r="O115" s="103"/>
      <c r="P115" s="103"/>
      <c r="Q115" s="205"/>
    </row>
    <row r="116" spans="1:17" ht="32.25" thickBot="1" x14ac:dyDescent="0.3">
      <c r="A116" s="85">
        <v>2</v>
      </c>
      <c r="B116" s="115">
        <v>3</v>
      </c>
      <c r="C116" s="116">
        <v>3</v>
      </c>
      <c r="D116" s="93"/>
      <c r="E116" s="93"/>
      <c r="F116" s="104" t="s">
        <v>90</v>
      </c>
      <c r="G116" s="95">
        <f t="shared" ref="G116:Q116" si="31">G117+G118+G119+G120</f>
        <v>101500</v>
      </c>
      <c r="H116" s="105">
        <f t="shared" si="31"/>
        <v>0</v>
      </c>
      <c r="I116" s="10" t="e">
        <f t="shared" si="31"/>
        <v>#REF!</v>
      </c>
      <c r="J116" s="105">
        <f t="shared" si="31"/>
        <v>708</v>
      </c>
      <c r="K116" s="105">
        <f t="shared" si="31"/>
        <v>0</v>
      </c>
      <c r="L116" s="105">
        <f t="shared" si="31"/>
        <v>0</v>
      </c>
      <c r="M116" s="105">
        <f t="shared" si="31"/>
        <v>0</v>
      </c>
      <c r="N116" s="105">
        <f t="shared" si="31"/>
        <v>0</v>
      </c>
      <c r="O116" s="105">
        <f t="shared" si="31"/>
        <v>0</v>
      </c>
      <c r="P116" s="105">
        <f t="shared" si="31"/>
        <v>708</v>
      </c>
      <c r="Q116" s="202">
        <f t="shared" si="31"/>
        <v>100792</v>
      </c>
    </row>
    <row r="117" spans="1:17" ht="15.75" x14ac:dyDescent="0.25">
      <c r="A117" s="85">
        <v>2</v>
      </c>
      <c r="B117" s="85">
        <v>3</v>
      </c>
      <c r="C117" s="92">
        <v>3</v>
      </c>
      <c r="D117" s="85">
        <v>1</v>
      </c>
      <c r="E117" s="85"/>
      <c r="F117" s="127" t="s">
        <v>91</v>
      </c>
      <c r="G117" s="107">
        <v>68000</v>
      </c>
      <c r="H117" s="109"/>
      <c r="I117" s="12" t="e">
        <f>+G117-#REF!</f>
        <v>#REF!</v>
      </c>
      <c r="J117" s="109"/>
      <c r="K117" s="109"/>
      <c r="L117" s="109"/>
      <c r="M117" s="109"/>
      <c r="N117" s="183"/>
      <c r="O117" s="183"/>
      <c r="P117" s="103">
        <f>+H117+J117+K117+L117+M117+N117+O117</f>
        <v>0</v>
      </c>
      <c r="Q117" s="230">
        <f>+G117-P117</f>
        <v>68000</v>
      </c>
    </row>
    <row r="118" spans="1:17" ht="15.75" x14ac:dyDescent="0.25">
      <c r="A118" s="85">
        <v>2</v>
      </c>
      <c r="B118" s="85">
        <v>3</v>
      </c>
      <c r="C118" s="92">
        <v>3</v>
      </c>
      <c r="D118" s="85">
        <v>2</v>
      </c>
      <c r="E118" s="85"/>
      <c r="F118" s="127" t="s">
        <v>92</v>
      </c>
      <c r="G118" s="108">
        <v>23000</v>
      </c>
      <c r="H118" s="110">
        <v>0</v>
      </c>
      <c r="I118" s="12" t="e">
        <f>+G118-#REF!</f>
        <v>#REF!</v>
      </c>
      <c r="J118" s="110">
        <v>0</v>
      </c>
      <c r="K118" s="110"/>
      <c r="L118" s="110"/>
      <c r="M118" s="110"/>
      <c r="N118" s="183"/>
      <c r="O118" s="183"/>
      <c r="P118" s="103">
        <f>+H118+J118+K118+L118+M118+N118+O118</f>
        <v>0</v>
      </c>
      <c r="Q118" s="231">
        <f>+G118-P118</f>
        <v>23000</v>
      </c>
    </row>
    <row r="119" spans="1:17" ht="15.75" x14ac:dyDescent="0.25">
      <c r="A119" s="85">
        <v>2</v>
      </c>
      <c r="B119" s="85">
        <v>3</v>
      </c>
      <c r="C119" s="92">
        <v>3</v>
      </c>
      <c r="D119" s="85">
        <v>3</v>
      </c>
      <c r="E119" s="85"/>
      <c r="F119" s="127" t="s">
        <v>93</v>
      </c>
      <c r="G119" s="108">
        <v>0</v>
      </c>
      <c r="H119" s="110">
        <v>0</v>
      </c>
      <c r="I119" s="12">
        <v>0</v>
      </c>
      <c r="J119" s="110">
        <v>708</v>
      </c>
      <c r="K119" s="110"/>
      <c r="L119" s="110"/>
      <c r="M119" s="110"/>
      <c r="N119" s="183"/>
      <c r="O119" s="183"/>
      <c r="P119" s="103">
        <f>+H119+J119+K119+L119+M119+N119+O119</f>
        <v>708</v>
      </c>
      <c r="Q119" s="231">
        <f>+G119-P119</f>
        <v>-708</v>
      </c>
    </row>
    <row r="120" spans="1:17" ht="15.75" x14ac:dyDescent="0.25">
      <c r="A120" s="85">
        <v>2</v>
      </c>
      <c r="B120" s="85">
        <v>3</v>
      </c>
      <c r="C120" s="92">
        <v>3</v>
      </c>
      <c r="D120" s="85">
        <v>4</v>
      </c>
      <c r="E120" s="85"/>
      <c r="F120" s="127" t="s">
        <v>94</v>
      </c>
      <c r="G120" s="108">
        <v>10500</v>
      </c>
      <c r="H120" s="110"/>
      <c r="I120" s="12" t="e">
        <f>+G120-#REF!</f>
        <v>#REF!</v>
      </c>
      <c r="J120" s="110"/>
      <c r="K120" s="110"/>
      <c r="L120" s="110"/>
      <c r="M120" s="110"/>
      <c r="N120" s="183"/>
      <c r="O120" s="183"/>
      <c r="P120" s="110">
        <f>+H120+J120+K120+L120+M120+N120+O120</f>
        <v>0</v>
      </c>
      <c r="Q120" s="231">
        <f>+G120-P120</f>
        <v>10500</v>
      </c>
    </row>
    <row r="121" spans="1:17" s="28" customFormat="1" ht="16.5" thickBot="1" x14ac:dyDescent="0.3">
      <c r="A121" s="85"/>
      <c r="B121" s="85"/>
      <c r="C121" s="92"/>
      <c r="D121" s="85"/>
      <c r="E121" s="85"/>
      <c r="F121" s="127"/>
      <c r="G121" s="108"/>
      <c r="H121" s="110"/>
      <c r="I121" s="12"/>
      <c r="J121" s="110"/>
      <c r="K121" s="110"/>
      <c r="L121" s="110"/>
      <c r="M121" s="110"/>
      <c r="N121" s="183"/>
      <c r="O121" s="183"/>
      <c r="P121" s="103">
        <f>+H121+J121+K121+L121+M121+N121+O121</f>
        <v>0</v>
      </c>
      <c r="Q121" s="231"/>
    </row>
    <row r="122" spans="1:17" s="28" customFormat="1" ht="32.25" thickBot="1" x14ac:dyDescent="0.3">
      <c r="A122" s="93">
        <v>2</v>
      </c>
      <c r="B122" s="93">
        <v>3</v>
      </c>
      <c r="C122" s="133">
        <v>7</v>
      </c>
      <c r="D122" s="93"/>
      <c r="E122" s="93"/>
      <c r="F122" s="128" t="s">
        <v>95</v>
      </c>
      <c r="G122" s="95">
        <f t="shared" ref="G122:Q123" si="32">G123</f>
        <v>300000</v>
      </c>
      <c r="H122" s="117">
        <f t="shared" si="32"/>
        <v>0</v>
      </c>
      <c r="I122" s="16" t="e">
        <f t="shared" si="32"/>
        <v>#REF!</v>
      </c>
      <c r="J122" s="117">
        <f t="shared" si="32"/>
        <v>0</v>
      </c>
      <c r="K122" s="117">
        <f t="shared" si="32"/>
        <v>60000</v>
      </c>
      <c r="L122" s="117">
        <f t="shared" si="32"/>
        <v>0</v>
      </c>
      <c r="M122" s="117">
        <f t="shared" si="32"/>
        <v>0</v>
      </c>
      <c r="N122" s="117">
        <f t="shared" si="32"/>
        <v>0</v>
      </c>
      <c r="O122" s="117">
        <f t="shared" si="32"/>
        <v>0</v>
      </c>
      <c r="P122" s="117">
        <f t="shared" si="32"/>
        <v>60000</v>
      </c>
      <c r="Q122" s="232">
        <f t="shared" si="32"/>
        <v>240000</v>
      </c>
    </row>
    <row r="123" spans="1:17" s="29" customFormat="1" ht="16.5" thickBot="1" x14ac:dyDescent="0.3">
      <c r="A123" s="93">
        <v>2</v>
      </c>
      <c r="B123" s="93">
        <v>3</v>
      </c>
      <c r="C123" s="133">
        <v>7</v>
      </c>
      <c r="D123" s="93">
        <v>1</v>
      </c>
      <c r="E123" s="93"/>
      <c r="F123" s="128" t="s">
        <v>96</v>
      </c>
      <c r="G123" s="95">
        <f t="shared" si="32"/>
        <v>300000</v>
      </c>
      <c r="H123" s="98">
        <f t="shared" si="32"/>
        <v>0</v>
      </c>
      <c r="I123" s="16" t="e">
        <f>I124</f>
        <v>#REF!</v>
      </c>
      <c r="J123" s="98">
        <f t="shared" si="32"/>
        <v>0</v>
      </c>
      <c r="K123" s="98">
        <f t="shared" si="32"/>
        <v>60000</v>
      </c>
      <c r="L123" s="98">
        <f t="shared" si="32"/>
        <v>0</v>
      </c>
      <c r="M123" s="98">
        <f t="shared" si="32"/>
        <v>0</v>
      </c>
      <c r="N123" s="98">
        <f t="shared" si="32"/>
        <v>0</v>
      </c>
      <c r="O123" s="98">
        <f t="shared" si="32"/>
        <v>0</v>
      </c>
      <c r="P123" s="98">
        <f t="shared" si="32"/>
        <v>60000</v>
      </c>
      <c r="Q123" s="211">
        <f>Q124</f>
        <v>240000</v>
      </c>
    </row>
    <row r="124" spans="1:17" ht="15.75" x14ac:dyDescent="0.25">
      <c r="A124" s="119">
        <v>2</v>
      </c>
      <c r="B124" s="119">
        <v>3</v>
      </c>
      <c r="C124" s="134">
        <v>7</v>
      </c>
      <c r="D124" s="119">
        <v>1</v>
      </c>
      <c r="E124" s="119">
        <v>1</v>
      </c>
      <c r="F124" s="106" t="s">
        <v>97</v>
      </c>
      <c r="G124" s="108">
        <v>300000</v>
      </c>
      <c r="H124" s="109"/>
      <c r="I124" s="13" t="e">
        <f>+G124-#REF!</f>
        <v>#REF!</v>
      </c>
      <c r="J124" s="109"/>
      <c r="K124" s="109">
        <v>60000</v>
      </c>
      <c r="L124" s="109"/>
      <c r="M124" s="109"/>
      <c r="N124" s="110"/>
      <c r="O124" s="110"/>
      <c r="P124" s="103">
        <f>+H124+J124+K124+L124+M124+N124+O124</f>
        <v>60000</v>
      </c>
      <c r="Q124" s="208">
        <f>+G124-P124</f>
        <v>240000</v>
      </c>
    </row>
    <row r="125" spans="1:17" ht="15.75" x14ac:dyDescent="0.25">
      <c r="A125" s="85"/>
      <c r="B125" s="85"/>
      <c r="C125" s="92"/>
      <c r="D125" s="85"/>
      <c r="E125" s="85"/>
      <c r="F125" s="106"/>
      <c r="G125" s="108"/>
      <c r="H125" s="110"/>
      <c r="I125" s="12"/>
      <c r="J125" s="110"/>
      <c r="K125" s="110"/>
      <c r="L125" s="110"/>
      <c r="M125" s="110"/>
      <c r="N125" s="110"/>
      <c r="O125" s="110"/>
      <c r="P125" s="110"/>
      <c r="Q125" s="207"/>
    </row>
    <row r="126" spans="1:17" ht="16.5" thickBot="1" x14ac:dyDescent="0.3">
      <c r="A126" s="85">
        <v>2</v>
      </c>
      <c r="B126" s="85">
        <v>3</v>
      </c>
      <c r="C126" s="92">
        <v>9</v>
      </c>
      <c r="D126" s="85"/>
      <c r="E126" s="93"/>
      <c r="F126" s="104" t="s">
        <v>98</v>
      </c>
      <c r="G126" s="129">
        <f>SUM(G127:G131)</f>
        <v>327804</v>
      </c>
      <c r="H126" s="129">
        <f t="shared" ref="H126:P126" si="33">SUM(H127:H131)</f>
        <v>85512.01</v>
      </c>
      <c r="I126" s="129" t="e">
        <f t="shared" si="33"/>
        <v>#REF!</v>
      </c>
      <c r="J126" s="180">
        <f t="shared" si="33"/>
        <v>77078.3</v>
      </c>
      <c r="K126" s="180">
        <f t="shared" si="33"/>
        <v>480</v>
      </c>
      <c r="L126" s="180">
        <f t="shared" si="33"/>
        <v>116541.09999999999</v>
      </c>
      <c r="M126" s="180">
        <f t="shared" si="33"/>
        <v>91216.950000000012</v>
      </c>
      <c r="N126" s="180">
        <f t="shared" si="33"/>
        <v>747.85</v>
      </c>
      <c r="O126" s="180">
        <f t="shared" si="33"/>
        <v>111088.97</v>
      </c>
      <c r="P126" s="180">
        <f t="shared" si="33"/>
        <v>482665.17999999993</v>
      </c>
      <c r="Q126" s="206">
        <f>Q127+Q128+Q129+Q130+Q131+Q132</f>
        <v>-154861.18</v>
      </c>
    </row>
    <row r="127" spans="1:17" ht="15.75" x14ac:dyDescent="0.25">
      <c r="A127" s="85">
        <v>2</v>
      </c>
      <c r="B127" s="85">
        <v>3</v>
      </c>
      <c r="C127" s="92">
        <v>9</v>
      </c>
      <c r="D127" s="85">
        <v>1</v>
      </c>
      <c r="E127" s="85"/>
      <c r="F127" s="106" t="s">
        <v>99</v>
      </c>
      <c r="G127" s="107">
        <v>8000</v>
      </c>
      <c r="H127" s="110"/>
      <c r="I127" s="12" t="e">
        <f>+G127-#REF!</f>
        <v>#REF!</v>
      </c>
      <c r="J127" s="110">
        <v>50</v>
      </c>
      <c r="K127" s="110"/>
      <c r="L127" s="110">
        <v>120</v>
      </c>
      <c r="M127" s="110"/>
      <c r="N127" s="110"/>
      <c r="O127" s="110"/>
      <c r="P127" s="103">
        <f t="shared" ref="P127:P132" si="34">+H127+J127+K127+L127+M127+N127+O127</f>
        <v>170</v>
      </c>
      <c r="Q127" s="207">
        <f>+G127-P127</f>
        <v>7830</v>
      </c>
    </row>
    <row r="128" spans="1:17" ht="31.5" x14ac:dyDescent="0.25">
      <c r="A128" s="85">
        <v>2</v>
      </c>
      <c r="B128" s="85">
        <v>3</v>
      </c>
      <c r="C128" s="92">
        <v>9</v>
      </c>
      <c r="D128" s="85">
        <v>2</v>
      </c>
      <c r="E128" s="85"/>
      <c r="F128" s="106" t="s">
        <v>100</v>
      </c>
      <c r="G128" s="108">
        <v>195000</v>
      </c>
      <c r="H128" s="110">
        <v>79914.009999999995</v>
      </c>
      <c r="I128" s="12" t="e">
        <f>+G128-#REF!</f>
        <v>#REF!</v>
      </c>
      <c r="J128" s="110">
        <f>22495.78+8966.17+9109.6</f>
        <v>40571.549999999996</v>
      </c>
      <c r="K128" s="110"/>
      <c r="L128" s="110">
        <v>110424.4</v>
      </c>
      <c r="M128" s="110">
        <f>19857.64+41206.78+450</f>
        <v>61514.42</v>
      </c>
      <c r="N128" s="110"/>
      <c r="O128" s="110">
        <v>3899.99</v>
      </c>
      <c r="P128" s="103">
        <f t="shared" si="34"/>
        <v>296324.37</v>
      </c>
      <c r="Q128" s="207">
        <f>+G128-P128</f>
        <v>-101324.37</v>
      </c>
    </row>
    <row r="129" spans="1:17" ht="15.75" x14ac:dyDescent="0.25">
      <c r="A129" s="85">
        <v>2</v>
      </c>
      <c r="B129" s="119">
        <v>3</v>
      </c>
      <c r="C129" s="119">
        <v>9</v>
      </c>
      <c r="D129" s="85">
        <v>5</v>
      </c>
      <c r="E129" s="85"/>
      <c r="F129" s="135" t="s">
        <v>101</v>
      </c>
      <c r="G129" s="108">
        <v>10000</v>
      </c>
      <c r="H129" s="110"/>
      <c r="I129" s="12" t="e">
        <f>+G129-#REF!</f>
        <v>#REF!</v>
      </c>
      <c r="J129" s="110">
        <f>258.9+29108.9</f>
        <v>29367.800000000003</v>
      </c>
      <c r="K129" s="110"/>
      <c r="L129" s="110"/>
      <c r="M129" s="110">
        <v>29213.68</v>
      </c>
      <c r="N129" s="110"/>
      <c r="O129" s="110">
        <f>675.88+250+18620.4+39232.3+43563+1584.5+517.9</f>
        <v>104443.98</v>
      </c>
      <c r="P129" s="103">
        <f t="shared" si="34"/>
        <v>163025.46</v>
      </c>
      <c r="Q129" s="207">
        <f>+G129-P129</f>
        <v>-153025.46</v>
      </c>
    </row>
    <row r="130" spans="1:17" ht="31.5" x14ac:dyDescent="0.25">
      <c r="A130" s="85">
        <v>2</v>
      </c>
      <c r="B130" s="85">
        <v>3</v>
      </c>
      <c r="C130" s="92">
        <v>9</v>
      </c>
      <c r="D130" s="85">
        <v>8</v>
      </c>
      <c r="E130" s="85"/>
      <c r="F130" s="132" t="s">
        <v>102</v>
      </c>
      <c r="G130" s="108">
        <v>20000</v>
      </c>
      <c r="H130" s="110">
        <v>2600</v>
      </c>
      <c r="I130" s="12" t="e">
        <f>+G130-#REF!</f>
        <v>#REF!</v>
      </c>
      <c r="J130" s="110"/>
      <c r="K130" s="110"/>
      <c r="L130" s="110"/>
      <c r="M130" s="110"/>
      <c r="N130" s="110"/>
      <c r="O130" s="110">
        <v>1805</v>
      </c>
      <c r="P130" s="103">
        <f t="shared" si="34"/>
        <v>4405</v>
      </c>
      <c r="Q130" s="207">
        <f>+G130-P130</f>
        <v>15595</v>
      </c>
    </row>
    <row r="131" spans="1:17" ht="15.75" x14ac:dyDescent="0.25">
      <c r="A131" s="85">
        <v>2</v>
      </c>
      <c r="B131" s="85">
        <v>3</v>
      </c>
      <c r="C131" s="92">
        <v>9</v>
      </c>
      <c r="D131" s="85">
        <v>9</v>
      </c>
      <c r="E131" s="85"/>
      <c r="F131" s="132" t="s">
        <v>103</v>
      </c>
      <c r="G131" s="108">
        <v>94804</v>
      </c>
      <c r="H131" s="110">
        <f>100+100+100+100+100+195+1200+1103</f>
        <v>2998</v>
      </c>
      <c r="I131" s="12" t="e">
        <f>+G131-#REF!</f>
        <v>#REF!</v>
      </c>
      <c r="J131" s="110">
        <f>6830+258.95</f>
        <v>7088.95</v>
      </c>
      <c r="K131" s="110">
        <v>480</v>
      </c>
      <c r="L131" s="110">
        <f>3957+517.9+560+143.95+817.85</f>
        <v>5996.7</v>
      </c>
      <c r="M131" s="110">
        <f>488.85</f>
        <v>488.85</v>
      </c>
      <c r="N131" s="110">
        <v>747.85</v>
      </c>
      <c r="O131" s="110">
        <f>440+500</f>
        <v>940</v>
      </c>
      <c r="P131" s="103">
        <f t="shared" si="34"/>
        <v>18740.349999999999</v>
      </c>
      <c r="Q131" s="207">
        <f>+G131-P131</f>
        <v>76063.649999999994</v>
      </c>
    </row>
    <row r="132" spans="1:17" ht="15.75" x14ac:dyDescent="0.25">
      <c r="A132" s="85">
        <v>2</v>
      </c>
      <c r="B132" s="85">
        <v>3</v>
      </c>
      <c r="C132" s="92">
        <v>9</v>
      </c>
      <c r="D132" s="85">
        <v>9</v>
      </c>
      <c r="E132" s="85">
        <v>2</v>
      </c>
      <c r="F132" s="132" t="s">
        <v>104</v>
      </c>
      <c r="G132" s="108"/>
      <c r="H132" s="110">
        <v>0</v>
      </c>
      <c r="I132" s="12">
        <v>0</v>
      </c>
      <c r="J132" s="110">
        <v>0</v>
      </c>
      <c r="K132" s="110"/>
      <c r="L132" s="110"/>
      <c r="M132" s="110"/>
      <c r="N132" s="110"/>
      <c r="O132" s="110"/>
      <c r="P132" s="103">
        <f t="shared" si="34"/>
        <v>0</v>
      </c>
      <c r="Q132" s="207">
        <v>0</v>
      </c>
    </row>
    <row r="133" spans="1:17" ht="15.75" x14ac:dyDescent="0.25">
      <c r="A133" s="85"/>
      <c r="B133" s="85"/>
      <c r="C133" s="92"/>
      <c r="D133" s="85"/>
      <c r="E133" s="85"/>
      <c r="F133" s="106"/>
      <c r="G133" s="108"/>
      <c r="H133" s="110"/>
      <c r="I133" s="12"/>
      <c r="J133" s="110"/>
      <c r="K133" s="110"/>
      <c r="L133" s="110"/>
      <c r="M133" s="110"/>
      <c r="N133" s="110"/>
      <c r="O133" s="110"/>
      <c r="P133" s="110"/>
      <c r="Q133" s="207"/>
    </row>
    <row r="134" spans="1:17" ht="32.25" thickBot="1" x14ac:dyDescent="0.3">
      <c r="A134" s="85">
        <v>2</v>
      </c>
      <c r="B134" s="85">
        <v>6</v>
      </c>
      <c r="C134" s="92"/>
      <c r="D134" s="85"/>
      <c r="E134" s="93"/>
      <c r="F134" s="104" t="s">
        <v>105</v>
      </c>
      <c r="G134" s="96">
        <f>G135+G143+G147</f>
        <v>0</v>
      </c>
      <c r="H134" s="96">
        <f t="shared" ref="H134:P134" si="35">H135+H143+H147</f>
        <v>0</v>
      </c>
      <c r="I134" s="6" t="e">
        <f>I135+I143+I147+I136</f>
        <v>#REF!</v>
      </c>
      <c r="J134" s="96">
        <f t="shared" si="35"/>
        <v>0</v>
      </c>
      <c r="K134" s="96">
        <f t="shared" si="35"/>
        <v>0</v>
      </c>
      <c r="L134" s="96">
        <f t="shared" si="35"/>
        <v>10815.64</v>
      </c>
      <c r="M134" s="96">
        <f t="shared" si="35"/>
        <v>0</v>
      </c>
      <c r="N134" s="96">
        <f t="shared" si="35"/>
        <v>0</v>
      </c>
      <c r="O134" s="96">
        <f t="shared" si="35"/>
        <v>198522.47999999998</v>
      </c>
      <c r="P134" s="96">
        <f t="shared" si="35"/>
        <v>209338.12</v>
      </c>
      <c r="Q134" s="202">
        <f>Q135+Q143+Q147+Q136</f>
        <v>-119942.04</v>
      </c>
    </row>
    <row r="135" spans="1:17" ht="16.5" thickBot="1" x14ac:dyDescent="0.3">
      <c r="A135" s="85">
        <v>2</v>
      </c>
      <c r="B135" s="85">
        <v>6</v>
      </c>
      <c r="C135" s="92">
        <v>1</v>
      </c>
      <c r="D135" s="85"/>
      <c r="E135" s="119"/>
      <c r="F135" s="128" t="s">
        <v>106</v>
      </c>
      <c r="G135" s="97">
        <f>G137+G138+G139+G141+G142</f>
        <v>0</v>
      </c>
      <c r="H135" s="169">
        <f t="shared" ref="H135:P135" si="36">+H136+H137+H138+H139+H140+H141</f>
        <v>0</v>
      </c>
      <c r="I135" s="7">
        <f>I137+I138+I139+I141+I142</f>
        <v>0</v>
      </c>
      <c r="J135" s="169">
        <f t="shared" si="36"/>
        <v>0</v>
      </c>
      <c r="K135" s="169">
        <f t="shared" si="36"/>
        <v>0</v>
      </c>
      <c r="L135" s="169">
        <f t="shared" si="36"/>
        <v>10815.64</v>
      </c>
      <c r="M135" s="169">
        <f t="shared" si="36"/>
        <v>0</v>
      </c>
      <c r="N135" s="169">
        <f t="shared" si="36"/>
        <v>0</v>
      </c>
      <c r="O135" s="169">
        <f>+O136+O137+O138+O139+O140+O141</f>
        <v>198522.47999999998</v>
      </c>
      <c r="P135" s="169">
        <f t="shared" si="36"/>
        <v>209338.12</v>
      </c>
      <c r="Q135" s="233">
        <f>Q137+Q138+Q139+Q141+Q142</f>
        <v>-119942.04</v>
      </c>
    </row>
    <row r="136" spans="1:17" ht="16.5" thickBot="1" x14ac:dyDescent="0.3">
      <c r="A136" s="85">
        <v>2</v>
      </c>
      <c r="B136" s="85">
        <v>6</v>
      </c>
      <c r="C136" s="92">
        <v>8</v>
      </c>
      <c r="D136" s="85">
        <v>8</v>
      </c>
      <c r="E136" s="119"/>
      <c r="F136" s="136" t="s">
        <v>107</v>
      </c>
      <c r="G136" s="108">
        <f>G138+G139+G140+G142+G143</f>
        <v>0</v>
      </c>
      <c r="H136" s="124">
        <f>H138+H139+H140+H142+H143</f>
        <v>0</v>
      </c>
      <c r="I136" s="7" t="e">
        <f>+G136-#REF!</f>
        <v>#REF!</v>
      </c>
      <c r="J136" s="124">
        <f>J138+J139+J140+J142+J143</f>
        <v>0</v>
      </c>
      <c r="K136" s="124">
        <f>K138+K139+K140+K142+K143</f>
        <v>0</v>
      </c>
      <c r="L136" s="124"/>
      <c r="M136" s="124"/>
      <c r="N136" s="224"/>
      <c r="O136" s="224"/>
      <c r="P136" s="103">
        <f>+H136+J136+K136+L136+M136+N136</f>
        <v>0</v>
      </c>
      <c r="Q136" s="214">
        <f>+G136-P136</f>
        <v>0</v>
      </c>
    </row>
    <row r="137" spans="1:17" ht="31.5" x14ac:dyDescent="0.25">
      <c r="A137" s="85">
        <v>2</v>
      </c>
      <c r="B137" s="85">
        <v>6</v>
      </c>
      <c r="C137" s="92">
        <v>1</v>
      </c>
      <c r="D137" s="85">
        <v>1</v>
      </c>
      <c r="E137" s="119"/>
      <c r="F137" s="127" t="s">
        <v>108</v>
      </c>
      <c r="G137" s="108"/>
      <c r="H137" s="110"/>
      <c r="I137" s="13"/>
      <c r="J137" s="110"/>
      <c r="K137" s="110"/>
      <c r="L137" s="110">
        <v>10815.64</v>
      </c>
      <c r="M137" s="110"/>
      <c r="N137" s="183"/>
      <c r="O137" s="183">
        <v>109126.39999999999</v>
      </c>
      <c r="P137" s="103">
        <f>+H137+J137+K137+L137+M137+N137+O137</f>
        <v>119942.04</v>
      </c>
      <c r="Q137" s="207">
        <f>+G137-P137</f>
        <v>-119942.04</v>
      </c>
    </row>
    <row r="138" spans="1:17" ht="15.75" x14ac:dyDescent="0.25">
      <c r="A138" s="85">
        <v>2</v>
      </c>
      <c r="B138" s="85">
        <v>6</v>
      </c>
      <c r="C138" s="92">
        <v>1</v>
      </c>
      <c r="D138" s="85">
        <v>4</v>
      </c>
      <c r="E138" s="119"/>
      <c r="F138" s="127" t="s">
        <v>109</v>
      </c>
      <c r="G138" s="108"/>
      <c r="H138" s="110"/>
      <c r="I138" s="12"/>
      <c r="J138" s="110"/>
      <c r="K138" s="110"/>
      <c r="L138" s="110"/>
      <c r="M138" s="110"/>
      <c r="N138" s="183"/>
      <c r="O138" s="183">
        <v>44242.28</v>
      </c>
      <c r="P138" s="103">
        <f>+H138+J138+K138+L138+M138+N138+O138</f>
        <v>44242.28</v>
      </c>
      <c r="Q138" s="207"/>
    </row>
    <row r="139" spans="1:17" ht="15.75" x14ac:dyDescent="0.25">
      <c r="A139" s="85">
        <v>2</v>
      </c>
      <c r="B139" s="85">
        <v>6</v>
      </c>
      <c r="C139" s="92">
        <v>1</v>
      </c>
      <c r="D139" s="85">
        <v>7</v>
      </c>
      <c r="E139" s="119"/>
      <c r="F139" s="127" t="s">
        <v>110</v>
      </c>
      <c r="G139" s="108"/>
      <c r="H139" s="110">
        <v>0</v>
      </c>
      <c r="I139" s="12">
        <v>0</v>
      </c>
      <c r="J139" s="110">
        <v>0</v>
      </c>
      <c r="K139" s="110"/>
      <c r="L139" s="110"/>
      <c r="M139" s="110"/>
      <c r="N139" s="183"/>
      <c r="O139" s="183">
        <v>42373.8</v>
      </c>
      <c r="P139" s="103">
        <f>+H139+J139+K139+L139+M139+N139+O139</f>
        <v>42373.8</v>
      </c>
      <c r="Q139" s="207">
        <v>0</v>
      </c>
    </row>
    <row r="140" spans="1:17" ht="15.75" x14ac:dyDescent="0.25">
      <c r="A140" s="85">
        <v>2</v>
      </c>
      <c r="B140" s="85">
        <v>6</v>
      </c>
      <c r="C140" s="92">
        <v>1</v>
      </c>
      <c r="D140" s="85">
        <v>8</v>
      </c>
      <c r="E140" s="119"/>
      <c r="F140" s="127" t="s">
        <v>111</v>
      </c>
      <c r="G140" s="108"/>
      <c r="H140" s="110"/>
      <c r="I140" s="12"/>
      <c r="J140" s="110"/>
      <c r="K140" s="110"/>
      <c r="L140" s="110"/>
      <c r="M140" s="110"/>
      <c r="N140" s="183"/>
      <c r="O140" s="183"/>
      <c r="P140" s="103">
        <f>+H140+J140+K140+L140+M140+N140</f>
        <v>0</v>
      </c>
      <c r="Q140" s="207"/>
    </row>
    <row r="141" spans="1:17" ht="31.5" x14ac:dyDescent="0.25">
      <c r="A141" s="85">
        <v>2</v>
      </c>
      <c r="B141" s="85">
        <v>6</v>
      </c>
      <c r="C141" s="92">
        <v>1</v>
      </c>
      <c r="D141" s="85">
        <v>9</v>
      </c>
      <c r="E141" s="119"/>
      <c r="F141" s="127" t="s">
        <v>112</v>
      </c>
      <c r="G141" s="108"/>
      <c r="H141" s="110"/>
      <c r="I141" s="12"/>
      <c r="J141" s="110"/>
      <c r="K141" s="110"/>
      <c r="L141" s="110"/>
      <c r="M141" s="110"/>
      <c r="N141" s="183"/>
      <c r="O141" s="183">
        <v>2780</v>
      </c>
      <c r="P141" s="103">
        <f>+H141+J141+K141+L141+M141+N141+O141</f>
        <v>2780</v>
      </c>
      <c r="Q141" s="207"/>
    </row>
    <row r="142" spans="1:17" ht="15.75" x14ac:dyDescent="0.25">
      <c r="A142" s="85"/>
      <c r="B142" s="85"/>
      <c r="C142" s="92"/>
      <c r="D142" s="85"/>
      <c r="E142" s="93"/>
      <c r="F142" s="128"/>
      <c r="G142" s="125"/>
      <c r="H142" s="96"/>
      <c r="I142" s="6">
        <f>+G142</f>
        <v>0</v>
      </c>
      <c r="J142" s="96"/>
      <c r="K142" s="96"/>
      <c r="L142" s="96"/>
      <c r="M142" s="96"/>
      <c r="N142" s="184"/>
      <c r="O142" s="184"/>
      <c r="P142" s="103">
        <f>+H142+J142+K142+L142+M142+N142</f>
        <v>0</v>
      </c>
      <c r="Q142" s="202"/>
    </row>
    <row r="143" spans="1:17" ht="32.25" thickBot="1" x14ac:dyDescent="0.3">
      <c r="A143" s="85">
        <v>2</v>
      </c>
      <c r="B143" s="85">
        <v>6</v>
      </c>
      <c r="C143" s="92">
        <v>2</v>
      </c>
      <c r="D143" s="85"/>
      <c r="E143" s="93"/>
      <c r="F143" s="128" t="s">
        <v>113</v>
      </c>
      <c r="G143" s="95">
        <f t="shared" ref="G143:Q143" si="37">G144+G145</f>
        <v>0</v>
      </c>
      <c r="H143" s="117">
        <f t="shared" si="37"/>
        <v>0</v>
      </c>
      <c r="I143" s="19" t="e">
        <f t="shared" si="37"/>
        <v>#REF!</v>
      </c>
      <c r="J143" s="117">
        <f t="shared" si="37"/>
        <v>0</v>
      </c>
      <c r="K143" s="117">
        <f t="shared" si="37"/>
        <v>0</v>
      </c>
      <c r="L143" s="117">
        <f t="shared" si="37"/>
        <v>0</v>
      </c>
      <c r="M143" s="117">
        <f t="shared" si="37"/>
        <v>0</v>
      </c>
      <c r="N143" s="117">
        <f t="shared" si="37"/>
        <v>0</v>
      </c>
      <c r="O143" s="117">
        <f t="shared" si="37"/>
        <v>0</v>
      </c>
      <c r="P143" s="110">
        <f t="shared" si="37"/>
        <v>0</v>
      </c>
      <c r="Q143" s="211">
        <f t="shared" si="37"/>
        <v>0</v>
      </c>
    </row>
    <row r="144" spans="1:17" ht="31.5" x14ac:dyDescent="0.25">
      <c r="A144" s="85">
        <v>2</v>
      </c>
      <c r="B144" s="85">
        <v>6</v>
      </c>
      <c r="C144" s="92">
        <v>2</v>
      </c>
      <c r="D144" s="85">
        <v>1</v>
      </c>
      <c r="E144" s="119"/>
      <c r="F144" s="106" t="s">
        <v>114</v>
      </c>
      <c r="G144" s="108"/>
      <c r="H144" s="110">
        <v>0</v>
      </c>
      <c r="I144" s="12">
        <v>0</v>
      </c>
      <c r="J144" s="110">
        <v>0</v>
      </c>
      <c r="K144" s="110"/>
      <c r="L144" s="110"/>
      <c r="M144" s="183"/>
      <c r="N144" s="109"/>
      <c r="O144" s="109"/>
      <c r="P144" s="182">
        <f>+H144+J144+K144+L144+M144+N144</f>
        <v>0</v>
      </c>
      <c r="Q144" s="207">
        <v>0</v>
      </c>
    </row>
    <row r="145" spans="1:24" ht="15.75" x14ac:dyDescent="0.25">
      <c r="A145" s="85">
        <v>2</v>
      </c>
      <c r="B145" s="85">
        <v>6</v>
      </c>
      <c r="C145" s="92">
        <v>2</v>
      </c>
      <c r="D145" s="85">
        <v>3</v>
      </c>
      <c r="E145" s="119"/>
      <c r="F145" s="106" t="s">
        <v>115</v>
      </c>
      <c r="G145" s="108"/>
      <c r="H145" s="110">
        <f>G145*12</f>
        <v>0</v>
      </c>
      <c r="I145" s="12" t="e">
        <f>+G145-#REF!</f>
        <v>#REF!</v>
      </c>
      <c r="J145" s="110"/>
      <c r="K145" s="110"/>
      <c r="L145" s="110"/>
      <c r="M145" s="183"/>
      <c r="N145" s="110"/>
      <c r="O145" s="110"/>
      <c r="P145" s="103">
        <f>+H145+J145+K145+L145+M145+N145</f>
        <v>0</v>
      </c>
      <c r="Q145" s="207"/>
    </row>
    <row r="146" spans="1:24" ht="15.75" x14ac:dyDescent="0.25">
      <c r="A146" s="85"/>
      <c r="B146" s="85"/>
      <c r="C146" s="92"/>
      <c r="D146" s="85"/>
      <c r="E146" s="93"/>
      <c r="F146" s="104"/>
      <c r="G146" s="125"/>
      <c r="H146" s="96"/>
      <c r="I146" s="6"/>
      <c r="J146" s="96"/>
      <c r="K146" s="96"/>
      <c r="L146" s="96"/>
      <c r="M146" s="184"/>
      <c r="N146" s="96"/>
      <c r="O146" s="96"/>
      <c r="P146" s="96"/>
      <c r="Q146" s="202"/>
    </row>
    <row r="147" spans="1:24" ht="48" thickBot="1" x14ac:dyDescent="0.3">
      <c r="A147" s="85">
        <v>2</v>
      </c>
      <c r="B147" s="85">
        <v>6</v>
      </c>
      <c r="C147" s="92">
        <v>4</v>
      </c>
      <c r="D147" s="85"/>
      <c r="E147" s="93"/>
      <c r="F147" s="104" t="s">
        <v>116</v>
      </c>
      <c r="G147" s="125">
        <f>G149+G150+G148</f>
        <v>0</v>
      </c>
      <c r="H147" s="110">
        <f t="shared" ref="H147:Q147" si="38">H148+H149</f>
        <v>0</v>
      </c>
      <c r="I147" s="12">
        <f t="shared" si="38"/>
        <v>0</v>
      </c>
      <c r="J147" s="110">
        <f t="shared" si="38"/>
        <v>0</v>
      </c>
      <c r="K147" s="110">
        <f t="shared" si="38"/>
        <v>0</v>
      </c>
      <c r="L147" s="110">
        <f t="shared" si="38"/>
        <v>0</v>
      </c>
      <c r="M147" s="183">
        <f t="shared" si="38"/>
        <v>0</v>
      </c>
      <c r="N147" s="117">
        <f t="shared" si="38"/>
        <v>0</v>
      </c>
      <c r="O147" s="117">
        <f t="shared" si="38"/>
        <v>0</v>
      </c>
      <c r="P147" s="117">
        <f t="shared" si="38"/>
        <v>0</v>
      </c>
      <c r="Q147" s="207">
        <f t="shared" si="38"/>
        <v>0</v>
      </c>
    </row>
    <row r="148" spans="1:24" ht="31.5" x14ac:dyDescent="0.25">
      <c r="A148" s="85">
        <v>2</v>
      </c>
      <c r="B148" s="85">
        <v>6</v>
      </c>
      <c r="C148" s="92">
        <v>4</v>
      </c>
      <c r="D148" s="85"/>
      <c r="E148" s="93"/>
      <c r="F148" s="127" t="s">
        <v>116</v>
      </c>
      <c r="G148" s="100"/>
      <c r="H148" s="109">
        <v>0</v>
      </c>
      <c r="I148" s="13">
        <v>0</v>
      </c>
      <c r="J148" s="109">
        <v>0</v>
      </c>
      <c r="K148" s="109"/>
      <c r="L148" s="109"/>
      <c r="M148" s="109"/>
      <c r="N148" s="110"/>
      <c r="O148" s="110"/>
      <c r="P148" s="103">
        <f>+H148+J148+K148+L148+M148+N148</f>
        <v>0</v>
      </c>
      <c r="Q148" s="208">
        <v>0</v>
      </c>
    </row>
    <row r="149" spans="1:24" ht="15.75" x14ac:dyDescent="0.25">
      <c r="A149" s="85">
        <v>2</v>
      </c>
      <c r="B149" s="85">
        <v>6</v>
      </c>
      <c r="C149" s="92">
        <v>4</v>
      </c>
      <c r="D149" s="85">
        <v>1</v>
      </c>
      <c r="E149" s="85"/>
      <c r="F149" s="127" t="s">
        <v>117</v>
      </c>
      <c r="G149" s="108"/>
      <c r="H149" s="110">
        <v>0</v>
      </c>
      <c r="I149" s="12">
        <v>0</v>
      </c>
      <c r="J149" s="110">
        <v>0</v>
      </c>
      <c r="K149" s="110"/>
      <c r="L149" s="110"/>
      <c r="M149" s="110"/>
      <c r="N149" s="110"/>
      <c r="O149" s="110"/>
      <c r="P149" s="103">
        <f>+H149+J149+K149+L149+M149</f>
        <v>0</v>
      </c>
      <c r="Q149" s="207">
        <v>0</v>
      </c>
    </row>
    <row r="150" spans="1:24" ht="15.75" x14ac:dyDescent="0.25">
      <c r="A150" s="85">
        <v>2</v>
      </c>
      <c r="B150" s="85">
        <v>6</v>
      </c>
      <c r="C150" s="92">
        <v>4</v>
      </c>
      <c r="D150" s="85">
        <v>7</v>
      </c>
      <c r="E150" s="85"/>
      <c r="F150" s="127" t="s">
        <v>118</v>
      </c>
      <c r="G150" s="108">
        <v>0</v>
      </c>
      <c r="H150" s="110">
        <v>0</v>
      </c>
      <c r="I150" s="12">
        <v>0</v>
      </c>
      <c r="J150" s="110">
        <v>0</v>
      </c>
      <c r="K150" s="110"/>
      <c r="L150" s="110"/>
      <c r="M150" s="110"/>
      <c r="N150" s="110"/>
      <c r="O150" s="110"/>
      <c r="P150" s="103">
        <f>+H150+J150+K150+L150+M150</f>
        <v>0</v>
      </c>
      <c r="Q150" s="207">
        <v>0</v>
      </c>
    </row>
    <row r="151" spans="1:24" ht="16.5" thickBot="1" x14ac:dyDescent="0.3">
      <c r="A151" s="85"/>
      <c r="B151" s="85"/>
      <c r="C151" s="92"/>
      <c r="D151" s="84"/>
      <c r="E151" s="85"/>
      <c r="F151" s="127"/>
      <c r="G151" s="111"/>
      <c r="H151" s="117"/>
      <c r="I151" s="12"/>
      <c r="J151" s="117"/>
      <c r="K151" s="117"/>
      <c r="L151" s="117"/>
      <c r="M151" s="117"/>
      <c r="N151" s="117"/>
      <c r="O151" s="117"/>
      <c r="P151" s="117"/>
      <c r="Q151" s="207"/>
    </row>
    <row r="152" spans="1:24" ht="18" thickBot="1" x14ac:dyDescent="0.35">
      <c r="A152" s="137"/>
      <c r="B152" s="137"/>
      <c r="C152" s="138"/>
      <c r="D152" s="139"/>
      <c r="E152" s="139"/>
      <c r="F152" s="140" t="s">
        <v>119</v>
      </c>
      <c r="G152" s="95">
        <f t="shared" ref="G152:Q152" si="39">G108+G48+G12</f>
        <v>42039167</v>
      </c>
      <c r="H152" s="165">
        <f t="shared" si="39"/>
        <v>3087103.98</v>
      </c>
      <c r="I152" s="165" t="e">
        <f t="shared" si="39"/>
        <v>#REF!</v>
      </c>
      <c r="J152" s="165">
        <f t="shared" si="39"/>
        <v>3272561.4400000004</v>
      </c>
      <c r="K152" s="165">
        <f t="shared" si="39"/>
        <v>3296314.58</v>
      </c>
      <c r="L152" s="165">
        <f t="shared" si="39"/>
        <v>3958386.4610000001</v>
      </c>
      <c r="M152" s="165">
        <f t="shared" si="39"/>
        <v>3698270.74</v>
      </c>
      <c r="N152" s="165">
        <f t="shared" si="39"/>
        <v>3595808.3900000006</v>
      </c>
      <c r="O152" s="165">
        <f t="shared" si="39"/>
        <v>3869378.4699999997</v>
      </c>
      <c r="P152" s="165">
        <f t="shared" si="39"/>
        <v>24777824.060999997</v>
      </c>
      <c r="Q152" s="234">
        <f t="shared" si="39"/>
        <v>17350740.019000001</v>
      </c>
      <c r="S152" s="264"/>
      <c r="T152" s="264"/>
    </row>
    <row r="153" spans="1:24" ht="17.25" x14ac:dyDescent="0.3">
      <c r="A153" s="141"/>
      <c r="B153" s="141"/>
      <c r="C153" s="66"/>
      <c r="D153" s="66"/>
      <c r="E153" s="66"/>
      <c r="F153" s="66"/>
      <c r="G153" s="142"/>
      <c r="H153" s="143"/>
      <c r="I153" s="1"/>
      <c r="J153" s="23"/>
      <c r="K153" s="23"/>
      <c r="L153" s="23"/>
      <c r="M153" s="23"/>
      <c r="N153" s="23"/>
      <c r="O153" s="23"/>
      <c r="P153" s="23"/>
      <c r="Q153" s="162"/>
      <c r="S153" s="263"/>
      <c r="T153" s="263"/>
      <c r="V153" s="11"/>
    </row>
    <row r="154" spans="1:24" ht="18" x14ac:dyDescent="0.25">
      <c r="A154" s="141"/>
      <c r="B154" s="141"/>
      <c r="C154" s="66"/>
      <c r="D154" s="66"/>
      <c r="E154" s="144"/>
      <c r="F154" s="145"/>
      <c r="G154" s="142"/>
      <c r="H154" s="146"/>
      <c r="I154" s="31"/>
      <c r="J154" s="23"/>
      <c r="K154" s="23"/>
      <c r="L154" s="23"/>
      <c r="M154" s="23"/>
      <c r="N154" s="23"/>
      <c r="O154" s="23"/>
      <c r="P154" s="23"/>
      <c r="Q154" s="173"/>
    </row>
    <row r="155" spans="1:24" ht="18" x14ac:dyDescent="0.25">
      <c r="A155" s="141"/>
      <c r="B155" s="141"/>
      <c r="C155" s="66"/>
      <c r="D155" s="66"/>
      <c r="E155" s="147"/>
      <c r="F155" s="148"/>
      <c r="G155" s="149"/>
      <c r="H155" s="150"/>
      <c r="I155" s="33"/>
      <c r="J155" s="34"/>
      <c r="K155" s="34"/>
      <c r="L155" s="34"/>
      <c r="M155" s="34"/>
      <c r="N155" s="34"/>
      <c r="O155" s="34"/>
      <c r="P155" s="34"/>
      <c r="Q155" s="187"/>
    </row>
    <row r="156" spans="1:24" ht="19.5" thickBot="1" x14ac:dyDescent="0.35">
      <c r="A156" s="64"/>
      <c r="B156" s="64"/>
      <c r="C156" s="64"/>
      <c r="D156" s="64"/>
      <c r="E156" s="64"/>
      <c r="F156" s="148"/>
      <c r="G156" s="151"/>
      <c r="H156" s="151"/>
      <c r="I156" s="35"/>
      <c r="J156" s="37"/>
      <c r="K156" s="37"/>
      <c r="L156" s="37"/>
      <c r="M156" s="37"/>
      <c r="N156" s="37"/>
      <c r="O156" s="37"/>
      <c r="P156" s="37"/>
      <c r="Q156" s="188"/>
      <c r="R156" s="17"/>
      <c r="S156" s="36"/>
      <c r="U156" s="38"/>
      <c r="V156" s="11"/>
    </row>
    <row r="157" spans="1:24" ht="18.75" x14ac:dyDescent="0.3">
      <c r="A157" s="64"/>
      <c r="B157" s="64"/>
      <c r="C157" s="64"/>
      <c r="D157" s="64"/>
      <c r="E157" s="64"/>
      <c r="F157" s="152" t="s">
        <v>120</v>
      </c>
      <c r="G157" s="225"/>
      <c r="H157" s="225"/>
      <c r="I157" s="226"/>
      <c r="J157" s="39"/>
      <c r="K157" s="39"/>
      <c r="L157" s="39"/>
      <c r="M157" s="39"/>
      <c r="N157" s="39"/>
      <c r="O157" s="39"/>
      <c r="P157" s="39"/>
      <c r="Q157" s="189"/>
      <c r="W157" s="11"/>
    </row>
    <row r="158" spans="1:24" ht="18.75" x14ac:dyDescent="0.3">
      <c r="A158" s="64"/>
      <c r="B158" s="64"/>
      <c r="C158" s="64"/>
      <c r="D158" s="64"/>
      <c r="E158" s="64"/>
      <c r="F158" s="148" t="s">
        <v>121</v>
      </c>
      <c r="G158" s="227"/>
      <c r="H158" s="225"/>
      <c r="I158" s="226"/>
      <c r="J158" s="39"/>
      <c r="K158" s="39"/>
      <c r="L158" s="39"/>
      <c r="M158" s="39"/>
      <c r="N158" s="39"/>
      <c r="O158" s="39"/>
      <c r="P158" s="39"/>
      <c r="Q158" s="190"/>
      <c r="R158" s="11"/>
      <c r="S158" s="41"/>
      <c r="W158" s="11"/>
      <c r="X158" s="11"/>
    </row>
    <row r="159" spans="1:24" ht="18.75" customHeight="1" x14ac:dyDescent="0.3">
      <c r="A159" s="64"/>
      <c r="B159" s="64"/>
      <c r="C159" s="64"/>
      <c r="D159" s="64"/>
      <c r="E159" s="64"/>
      <c r="F159" s="148"/>
      <c r="G159" s="227"/>
      <c r="H159" s="225"/>
      <c r="I159" s="226"/>
      <c r="J159" s="39"/>
      <c r="K159" s="39"/>
      <c r="L159" s="39"/>
      <c r="M159" s="39"/>
      <c r="N159" s="39"/>
      <c r="O159" s="39"/>
      <c r="P159" s="39"/>
      <c r="Q159" s="190"/>
      <c r="R159" s="11"/>
      <c r="S159" s="41"/>
      <c r="W159" s="11"/>
      <c r="X159" s="11"/>
    </row>
    <row r="160" spans="1:24" ht="30" customHeight="1" x14ac:dyDescent="0.3">
      <c r="A160" s="64"/>
      <c r="B160" s="64"/>
      <c r="C160" s="64"/>
      <c r="D160" s="64"/>
      <c r="E160" s="64"/>
      <c r="F160" s="148"/>
      <c r="G160" s="225"/>
      <c r="H160" s="225"/>
      <c r="I160" s="226"/>
      <c r="J160" s="39"/>
      <c r="K160" s="39"/>
      <c r="L160" s="39"/>
      <c r="M160" s="39"/>
      <c r="N160" s="39"/>
      <c r="O160" s="39"/>
      <c r="P160" s="39"/>
      <c r="Q160" s="190"/>
      <c r="S160" s="42"/>
      <c r="U160" s="23"/>
      <c r="V160" s="11"/>
      <c r="W160" s="11"/>
      <c r="X160" s="11"/>
    </row>
    <row r="161" spans="1:26" ht="18.75" customHeight="1" x14ac:dyDescent="0.3">
      <c r="A161" s="64"/>
      <c r="B161" s="64"/>
      <c r="C161" s="64"/>
      <c r="D161" s="64"/>
      <c r="E161" s="64"/>
      <c r="F161" s="148"/>
      <c r="G161" s="227"/>
      <c r="H161" s="23"/>
      <c r="I161" s="226"/>
      <c r="J161" s="228"/>
      <c r="K161" s="228"/>
      <c r="L161" s="228"/>
      <c r="M161" s="228"/>
      <c r="N161" s="161"/>
      <c r="O161" s="161"/>
      <c r="P161" s="161"/>
      <c r="Q161" s="190"/>
      <c r="R161" s="23"/>
      <c r="S161" s="45"/>
      <c r="U161" s="23"/>
      <c r="X161" s="11"/>
    </row>
    <row r="162" spans="1:26" ht="18.75" x14ac:dyDescent="0.3">
      <c r="A162" s="64"/>
      <c r="B162" s="64"/>
      <c r="C162" s="64"/>
      <c r="D162" s="64"/>
      <c r="E162" s="64"/>
      <c r="F162" s="148"/>
      <c r="G162" s="227"/>
      <c r="H162" s="23"/>
      <c r="I162" s="226"/>
      <c r="J162" s="228"/>
      <c r="K162" s="228"/>
      <c r="L162" s="228"/>
      <c r="M162" s="228"/>
      <c r="N162" s="161"/>
      <c r="O162" s="161"/>
      <c r="P162" s="161"/>
      <c r="Q162" s="190"/>
      <c r="R162" s="23"/>
      <c r="S162" s="45"/>
      <c r="U162" s="23"/>
      <c r="X162" s="11"/>
    </row>
    <row r="163" spans="1:26" ht="18" customHeight="1" x14ac:dyDescent="0.25">
      <c r="A163" s="64"/>
      <c r="B163" s="64"/>
      <c r="C163" s="64"/>
      <c r="D163" s="64"/>
      <c r="E163" s="64"/>
      <c r="F163" s="148"/>
      <c r="G163" s="229"/>
      <c r="H163" s="23"/>
      <c r="I163" s="43"/>
      <c r="J163" s="23"/>
      <c r="K163" s="23"/>
      <c r="L163" s="23"/>
      <c r="M163" s="23"/>
      <c r="N163" s="11"/>
      <c r="O163" s="11"/>
      <c r="P163" s="11"/>
      <c r="Q163" s="190"/>
      <c r="R163" s="23"/>
      <c r="S163" s="1"/>
      <c r="U163" s="23"/>
      <c r="Z163" s="11"/>
    </row>
    <row r="164" spans="1:26" ht="18.75" thickBot="1" x14ac:dyDescent="0.3">
      <c r="A164" s="64"/>
      <c r="B164" s="64"/>
      <c r="C164" s="64"/>
      <c r="D164" s="64"/>
      <c r="E164" s="64"/>
      <c r="F164" s="156"/>
      <c r="G164" s="229"/>
      <c r="H164" s="23"/>
      <c r="I164" s="43"/>
      <c r="J164" s="23"/>
      <c r="K164" s="23"/>
      <c r="L164" s="23"/>
      <c r="M164" s="23"/>
      <c r="N164" s="23"/>
      <c r="O164" s="23"/>
      <c r="P164" s="23"/>
      <c r="Q164" s="189"/>
      <c r="R164" s="23"/>
      <c r="S164" s="1"/>
      <c r="T164" s="11"/>
      <c r="U164" s="23"/>
      <c r="W164" s="11"/>
      <c r="X164" s="11"/>
    </row>
    <row r="165" spans="1:26" ht="18" x14ac:dyDescent="0.25">
      <c r="A165" s="64"/>
      <c r="B165" s="64"/>
      <c r="C165" s="64"/>
      <c r="D165" s="64"/>
      <c r="E165" s="64"/>
      <c r="F165" s="148" t="s">
        <v>122</v>
      </c>
      <c r="G165" s="229"/>
      <c r="H165" s="23"/>
      <c r="I165" s="43"/>
      <c r="J165" s="23"/>
      <c r="K165" s="23"/>
      <c r="L165" s="23"/>
      <c r="M165" s="23"/>
      <c r="N165" s="23"/>
      <c r="O165" s="23"/>
      <c r="P165" s="23"/>
      <c r="Q165" s="189"/>
      <c r="R165" s="23"/>
      <c r="S165" s="1"/>
      <c r="T165" s="11"/>
      <c r="U165" s="23"/>
      <c r="W165" s="11"/>
      <c r="X165" s="11"/>
    </row>
    <row r="166" spans="1:26" ht="18" x14ac:dyDescent="0.25">
      <c r="A166" s="64"/>
      <c r="B166" s="64"/>
      <c r="C166" s="64"/>
      <c r="D166" s="64"/>
      <c r="E166" s="64"/>
      <c r="F166" s="148" t="s">
        <v>123</v>
      </c>
      <c r="G166" s="229"/>
      <c r="H166" s="23"/>
      <c r="I166" s="43"/>
      <c r="J166" s="23"/>
      <c r="K166" s="23"/>
      <c r="L166" s="23"/>
      <c r="M166" s="23"/>
      <c r="N166" s="23"/>
      <c r="O166" s="23"/>
      <c r="P166" s="23"/>
      <c r="Q166" s="189"/>
      <c r="R166" s="23"/>
      <c r="S166" s="11"/>
      <c r="T166" s="11"/>
      <c r="U166" s="23"/>
      <c r="W166" s="11"/>
    </row>
    <row r="167" spans="1:26" ht="18" customHeight="1" x14ac:dyDescent="0.25">
      <c r="A167" s="64"/>
      <c r="B167" s="64"/>
      <c r="C167" s="64"/>
      <c r="D167" s="64"/>
      <c r="E167" s="64"/>
      <c r="F167" s="148"/>
      <c r="G167" s="157"/>
      <c r="H167" s="23"/>
      <c r="I167" s="48"/>
      <c r="J167" s="23"/>
      <c r="K167" s="23"/>
      <c r="L167" s="23"/>
      <c r="M167" s="23"/>
      <c r="N167" s="23"/>
      <c r="O167" s="23"/>
      <c r="P167" s="23"/>
      <c r="Q167" s="191"/>
      <c r="R167" s="23"/>
      <c r="S167" s="51"/>
      <c r="U167" s="52"/>
      <c r="Y167" s="11"/>
    </row>
    <row r="168" spans="1:26" ht="18.75" thickBot="1" x14ac:dyDescent="0.3">
      <c r="A168" s="64"/>
      <c r="B168" s="64"/>
      <c r="C168" s="64"/>
      <c r="D168" s="64"/>
      <c r="E168" s="64"/>
      <c r="F168" s="141"/>
      <c r="G168" s="148"/>
      <c r="H168" s="23"/>
      <c r="I168" s="43"/>
      <c r="J168" s="23"/>
      <c r="K168" s="171"/>
      <c r="L168" s="171"/>
      <c r="M168" s="171"/>
      <c r="N168" s="171"/>
      <c r="O168" s="171"/>
      <c r="P168" s="23"/>
      <c r="Q168" s="190"/>
      <c r="R168" s="23"/>
      <c r="S168" s="51"/>
      <c r="U168" s="54"/>
      <c r="V168" s="18"/>
      <c r="W168" s="11"/>
      <c r="X168" s="11"/>
    </row>
    <row r="169" spans="1:26" ht="19.5" customHeight="1" thickTop="1" x14ac:dyDescent="0.25">
      <c r="A169" s="64"/>
      <c r="B169" s="64"/>
      <c r="C169" s="64"/>
      <c r="D169" s="64"/>
      <c r="E169" s="64"/>
      <c r="F169" s="141"/>
      <c r="G169" s="148"/>
      <c r="H169" s="158"/>
      <c r="I169" s="43"/>
      <c r="J169" s="23"/>
      <c r="K169" s="170"/>
      <c r="L169" s="170"/>
      <c r="M169" s="170"/>
      <c r="N169" s="179"/>
      <c r="O169" s="179"/>
      <c r="P169" s="23"/>
      <c r="Q169" s="190"/>
      <c r="R169" s="23"/>
      <c r="T169" s="11"/>
      <c r="U169" s="23"/>
      <c r="V169" s="11"/>
    </row>
    <row r="170" spans="1:26" ht="19.5" customHeight="1" x14ac:dyDescent="0.25">
      <c r="A170" s="64"/>
      <c r="B170" s="64"/>
      <c r="C170" s="64"/>
      <c r="D170" s="64"/>
      <c r="E170" s="64"/>
      <c r="F170" s="64"/>
      <c r="G170" s="64"/>
      <c r="H170" s="160"/>
      <c r="I170" s="56"/>
      <c r="J170" s="23"/>
      <c r="K170" s="170"/>
      <c r="L170" s="170"/>
      <c r="M170" s="170"/>
      <c r="N170" s="179"/>
      <c r="O170" s="179"/>
      <c r="P170" s="23"/>
      <c r="Q170" s="190"/>
      <c r="R170" s="23"/>
      <c r="S170" s="57"/>
      <c r="U170" s="52"/>
      <c r="V170" s="11"/>
    </row>
    <row r="171" spans="1:26" x14ac:dyDescent="0.25">
      <c r="A171" s="64"/>
      <c r="B171" s="64"/>
      <c r="C171" s="64"/>
      <c r="D171" s="64"/>
      <c r="E171" s="64"/>
      <c r="F171" s="64"/>
      <c r="G171" s="64"/>
      <c r="H171" s="160"/>
      <c r="I171" s="56"/>
      <c r="J171" s="23"/>
      <c r="K171" s="178"/>
      <c r="L171" s="178"/>
      <c r="M171" s="178"/>
      <c r="N171" s="179"/>
      <c r="O171" s="179"/>
      <c r="P171" s="23"/>
      <c r="Q171" s="190"/>
      <c r="R171" s="23"/>
      <c r="S171" s="42"/>
      <c r="U171" s="56"/>
    </row>
    <row r="172" spans="1:26" ht="18" customHeight="1" thickBot="1" x14ac:dyDescent="0.3">
      <c r="A172" s="64"/>
      <c r="B172" s="64"/>
      <c r="C172" s="64"/>
      <c r="D172" s="64"/>
      <c r="E172" s="64"/>
      <c r="F172" s="156"/>
      <c r="G172" s="64"/>
      <c r="H172" s="160"/>
      <c r="I172" s="56"/>
      <c r="J172" s="23"/>
      <c r="K172" s="171"/>
      <c r="L172" s="171"/>
      <c r="M172" s="171"/>
      <c r="N172" s="179"/>
      <c r="O172" s="179"/>
      <c r="P172" s="23"/>
      <c r="Q172" s="190"/>
      <c r="R172" s="23"/>
      <c r="S172" s="58"/>
      <c r="U172" s="56"/>
      <c r="W172" s="11"/>
    </row>
    <row r="173" spans="1:26" ht="18" customHeight="1" x14ac:dyDescent="0.25">
      <c r="A173" s="64"/>
      <c r="B173" s="64"/>
      <c r="C173" s="64"/>
      <c r="D173" s="64"/>
      <c r="E173" s="64"/>
      <c r="F173" s="148" t="s">
        <v>124</v>
      </c>
      <c r="G173" s="64"/>
      <c r="H173" s="160"/>
      <c r="I173" s="56"/>
      <c r="J173" s="23"/>
      <c r="K173" s="171"/>
      <c r="L173" s="171"/>
      <c r="M173" s="171"/>
      <c r="N173" s="178"/>
      <c r="O173" s="178"/>
      <c r="P173" s="23"/>
      <c r="Q173" s="190"/>
      <c r="R173" s="23"/>
      <c r="S173" s="58"/>
      <c r="U173" s="56"/>
      <c r="W173" s="11"/>
    </row>
    <row r="174" spans="1:26" ht="15" customHeight="1" x14ac:dyDescent="0.25">
      <c r="A174" s="64"/>
      <c r="B174" s="64"/>
      <c r="C174" s="64"/>
      <c r="D174" s="64"/>
      <c r="E174" s="64"/>
      <c r="F174" s="148" t="s">
        <v>125</v>
      </c>
      <c r="G174" s="64"/>
      <c r="H174" s="160"/>
      <c r="I174" s="23"/>
      <c r="J174" s="23"/>
      <c r="K174" s="171"/>
      <c r="L174" s="171"/>
      <c r="M174" s="171"/>
      <c r="N174" s="178"/>
      <c r="O174" s="178"/>
      <c r="P174" s="23"/>
      <c r="Q174" s="190"/>
      <c r="R174" s="23"/>
      <c r="S174" s="45"/>
      <c r="U174" s="56"/>
      <c r="W174" s="11"/>
      <c r="Y174" s="23"/>
    </row>
    <row r="175" spans="1:26" ht="15" customHeight="1" x14ac:dyDescent="0.25">
      <c r="A175" s="64"/>
      <c r="B175" s="64"/>
      <c r="C175" s="64"/>
      <c r="D175" s="64"/>
      <c r="E175" s="64"/>
      <c r="F175" s="148"/>
      <c r="G175" s="64"/>
      <c r="H175" s="160"/>
      <c r="I175" s="23"/>
      <c r="J175" s="23"/>
      <c r="K175" s="23"/>
      <c r="L175" s="23"/>
      <c r="M175" s="23"/>
      <c r="N175" s="178"/>
      <c r="O175" s="178"/>
      <c r="P175" s="23"/>
      <c r="Q175" s="190"/>
      <c r="R175" s="23"/>
      <c r="S175" s="45"/>
      <c r="T175" s="11"/>
      <c r="U175" s="56"/>
      <c r="W175" s="11"/>
      <c r="Y175" s="23"/>
    </row>
    <row r="176" spans="1:26" ht="15" customHeight="1" x14ac:dyDescent="0.25">
      <c r="A176" s="64"/>
      <c r="B176" s="64"/>
      <c r="C176" s="64"/>
      <c r="D176" s="64"/>
      <c r="E176" s="64"/>
      <c r="F176" s="64"/>
      <c r="G176" s="64"/>
      <c r="H176" s="65"/>
      <c r="I176" s="23"/>
      <c r="J176" s="23"/>
      <c r="K176" s="23"/>
      <c r="L176" s="23"/>
      <c r="M176" s="23"/>
      <c r="N176" s="178"/>
      <c r="O176" s="178"/>
      <c r="P176" s="23"/>
      <c r="Q176" s="190"/>
      <c r="R176" s="23"/>
      <c r="S176" s="45"/>
      <c r="U176" s="56"/>
      <c r="Y176" s="23"/>
    </row>
    <row r="177" spans="1:26" ht="15" customHeight="1" x14ac:dyDescent="0.25">
      <c r="A177" s="64"/>
      <c r="B177" s="64"/>
      <c r="C177" s="64"/>
      <c r="D177" s="64"/>
      <c r="E177" s="64"/>
      <c r="F177" s="64"/>
      <c r="G177" s="64"/>
      <c r="H177" s="65"/>
      <c r="I177" s="23"/>
      <c r="J177" s="23"/>
      <c r="K177" s="23"/>
      <c r="L177" s="23"/>
      <c r="M177" s="23"/>
      <c r="N177" s="178"/>
      <c r="O177" s="178"/>
      <c r="P177" s="23"/>
      <c r="Q177" s="190"/>
      <c r="R177" s="23"/>
      <c r="S177" s="45"/>
      <c r="U177" s="56"/>
      <c r="Y177" s="23"/>
    </row>
    <row r="178" spans="1:26" ht="29.25" customHeight="1" x14ac:dyDescent="0.25">
      <c r="A178" s="64"/>
      <c r="B178" s="64"/>
      <c r="C178" s="64"/>
      <c r="D178" s="64"/>
      <c r="E178" s="64"/>
      <c r="F178" s="64"/>
      <c r="G178" s="64"/>
      <c r="H178" s="65"/>
      <c r="I178" s="23"/>
      <c r="J178" s="23"/>
      <c r="K178" s="23"/>
      <c r="L178" s="23"/>
      <c r="M178" s="23"/>
      <c r="N178" s="178"/>
      <c r="O178" s="178"/>
      <c r="P178" s="23"/>
      <c r="Q178" s="190"/>
      <c r="R178" s="23"/>
      <c r="S178" s="45"/>
      <c r="U178" s="56"/>
      <c r="Y178" s="23"/>
    </row>
    <row r="179" spans="1:26" ht="15" customHeight="1" x14ac:dyDescent="0.25">
      <c r="A179" s="64"/>
      <c r="B179" s="64"/>
      <c r="C179" s="64"/>
      <c r="D179" s="64"/>
      <c r="E179" s="64"/>
      <c r="G179" s="64"/>
      <c r="H179" s="65"/>
      <c r="I179" s="23"/>
      <c r="J179" s="23"/>
      <c r="K179" s="23"/>
      <c r="L179" s="23"/>
      <c r="M179" s="23"/>
      <c r="N179" s="171"/>
      <c r="O179" s="171"/>
      <c r="P179" s="23"/>
      <c r="Q179" s="190"/>
      <c r="R179" s="23"/>
      <c r="S179" s="45"/>
      <c r="U179" s="56"/>
      <c r="Y179" s="23"/>
    </row>
    <row r="180" spans="1:26" x14ac:dyDescent="0.25">
      <c r="A180" s="64"/>
      <c r="B180" s="64"/>
      <c r="C180" s="64"/>
      <c r="D180" s="64"/>
      <c r="E180" s="64"/>
      <c r="G180" s="64"/>
      <c r="H180" s="65"/>
      <c r="I180" s="23"/>
      <c r="J180" s="23"/>
      <c r="K180" s="23"/>
      <c r="L180" s="23"/>
      <c r="M180" s="23"/>
      <c r="N180" s="172"/>
      <c r="O180" s="172"/>
      <c r="P180" s="23"/>
      <c r="Q180" s="190"/>
      <c r="R180" s="23"/>
      <c r="S180" s="45"/>
      <c r="U180" s="56"/>
      <c r="Y180" s="23"/>
    </row>
    <row r="181" spans="1:26" ht="15" customHeight="1" x14ac:dyDescent="0.25">
      <c r="A181" s="64"/>
      <c r="B181" s="64"/>
      <c r="C181" s="64"/>
      <c r="D181" s="64"/>
      <c r="E181" s="64"/>
      <c r="F181" s="64"/>
      <c r="G181" s="64"/>
      <c r="H181" s="65"/>
      <c r="I181" s="23"/>
      <c r="J181" s="23"/>
      <c r="K181" s="23"/>
      <c r="L181" s="23"/>
      <c r="M181" s="23"/>
      <c r="N181" s="235"/>
      <c r="O181" s="235"/>
      <c r="P181" s="23"/>
      <c r="Q181" s="190"/>
      <c r="R181" s="23"/>
      <c r="S181" s="58"/>
      <c r="U181" s="56"/>
      <c r="W181" s="11"/>
      <c r="Y181" s="11"/>
      <c r="Z181" s="11"/>
    </row>
    <row r="182" spans="1:26" ht="15" customHeight="1" x14ac:dyDescent="0.25">
      <c r="A182" s="64"/>
      <c r="B182" s="64"/>
      <c r="C182" s="64"/>
      <c r="D182" s="64"/>
      <c r="E182" s="64"/>
      <c r="F182" s="64"/>
      <c r="G182" s="64"/>
      <c r="H182" s="65"/>
      <c r="I182" s="23"/>
      <c r="J182" s="23"/>
      <c r="K182" s="23"/>
      <c r="L182" s="23"/>
      <c r="M182" s="23"/>
      <c r="N182" s="172"/>
      <c r="O182" s="172"/>
      <c r="P182" s="23"/>
      <c r="Q182" s="192"/>
      <c r="R182" s="23"/>
      <c r="S182" s="58"/>
      <c r="U182" s="56"/>
      <c r="W182" s="23"/>
    </row>
    <row r="183" spans="1:26" ht="15.75" customHeight="1" x14ac:dyDescent="0.25">
      <c r="A183" s="64"/>
      <c r="B183" s="64"/>
      <c r="C183" s="64"/>
      <c r="D183" s="64"/>
      <c r="E183" s="64"/>
      <c r="F183" s="64"/>
      <c r="G183" s="64"/>
      <c r="H183" s="65"/>
      <c r="I183" s="23"/>
      <c r="J183" s="23"/>
      <c r="K183" s="23"/>
      <c r="L183" s="23"/>
      <c r="M183" s="23"/>
      <c r="N183" s="235"/>
      <c r="O183" s="235"/>
      <c r="P183" s="23"/>
      <c r="Q183" s="192"/>
      <c r="R183" s="23"/>
      <c r="U183" s="56"/>
      <c r="Y183" s="11"/>
    </row>
    <row r="184" spans="1:26" x14ac:dyDescent="0.25">
      <c r="H184" s="30"/>
      <c r="I184" s="23"/>
      <c r="J184" s="23"/>
      <c r="K184" s="23"/>
      <c r="L184" s="23"/>
      <c r="M184" s="23"/>
      <c r="N184" s="46"/>
      <c r="O184" s="46"/>
      <c r="P184" s="23"/>
      <c r="Q184" s="193"/>
      <c r="R184" s="23"/>
      <c r="S184" s="51"/>
      <c r="U184" s="59"/>
    </row>
    <row r="185" spans="1:26" x14ac:dyDescent="0.25">
      <c r="I185" s="23"/>
      <c r="J185" s="23"/>
      <c r="K185" s="23"/>
      <c r="L185" s="23"/>
      <c r="M185" s="23"/>
      <c r="N185" s="23"/>
      <c r="O185" s="23"/>
      <c r="P185" s="23"/>
      <c r="Q185" s="193"/>
      <c r="R185" s="23"/>
      <c r="S185" s="51"/>
      <c r="U185" s="60"/>
    </row>
    <row r="186" spans="1:26" ht="15.75" thickBot="1" x14ac:dyDescent="0.3">
      <c r="I186" s="23"/>
      <c r="J186" s="23"/>
      <c r="K186" s="23"/>
      <c r="L186" s="23"/>
      <c r="M186" s="23"/>
      <c r="N186" s="23"/>
      <c r="O186" s="23"/>
      <c r="P186" s="23"/>
      <c r="Q186" s="193"/>
      <c r="R186" s="23"/>
      <c r="S186" s="58"/>
      <c r="U186" s="61"/>
      <c r="W186" s="11"/>
    </row>
    <row r="187" spans="1:26" ht="15.75" thickBot="1" x14ac:dyDescent="0.3">
      <c r="I187" s="23"/>
      <c r="J187" s="23"/>
      <c r="K187" s="23"/>
      <c r="L187" s="23"/>
      <c r="M187" s="23"/>
      <c r="N187" s="23"/>
      <c r="O187" s="23"/>
      <c r="P187" s="23"/>
      <c r="Q187" s="193"/>
      <c r="R187" s="23"/>
      <c r="S187" s="62"/>
      <c r="U187" s="63"/>
      <c r="V187" s="23"/>
      <c r="W187" s="11"/>
    </row>
    <row r="188" spans="1:26" ht="15.75" thickTop="1" x14ac:dyDescent="0.25">
      <c r="I188" s="23"/>
      <c r="J188" s="23"/>
      <c r="K188" s="23"/>
      <c r="L188" s="23"/>
      <c r="M188" s="23"/>
      <c r="N188" s="23"/>
      <c r="O188" s="23"/>
      <c r="P188" s="23"/>
      <c r="Q188" s="193"/>
      <c r="R188" s="23"/>
      <c r="S188" s="11"/>
      <c r="U188" s="23"/>
    </row>
    <row r="189" spans="1:26" x14ac:dyDescent="0.25">
      <c r="I189" s="23"/>
      <c r="J189" s="23"/>
      <c r="K189" s="23"/>
      <c r="L189" s="23"/>
      <c r="M189" s="23"/>
      <c r="N189" s="23"/>
      <c r="O189" s="23"/>
      <c r="P189" s="23"/>
      <c r="Q189" s="164"/>
      <c r="R189" s="23"/>
      <c r="U189" s="23"/>
    </row>
    <row r="190" spans="1:26" x14ac:dyDescent="0.25">
      <c r="I190" s="23"/>
      <c r="J190" s="23"/>
      <c r="K190" s="23"/>
      <c r="L190" s="23"/>
      <c r="M190" s="23"/>
      <c r="N190" s="23"/>
      <c r="O190" s="23"/>
      <c r="P190" s="23"/>
      <c r="Q190" s="179"/>
      <c r="R190" s="23"/>
    </row>
    <row r="191" spans="1:26" x14ac:dyDescent="0.25">
      <c r="I191" s="23"/>
      <c r="J191" s="23"/>
      <c r="K191" s="23"/>
      <c r="L191" s="23"/>
      <c r="M191" s="23"/>
      <c r="N191" s="23"/>
      <c r="O191" s="23"/>
      <c r="P191" s="23"/>
      <c r="Q191" s="164"/>
      <c r="R191" s="23"/>
    </row>
    <row r="192" spans="1:26" x14ac:dyDescent="0.25">
      <c r="I192" s="23"/>
      <c r="J192" s="23"/>
      <c r="K192" s="23"/>
      <c r="L192" s="23"/>
      <c r="M192" s="23"/>
      <c r="N192" s="23"/>
      <c r="O192" s="23"/>
      <c r="P192" s="23"/>
      <c r="Q192" s="164"/>
      <c r="R192" s="23"/>
    </row>
    <row r="193" spans="9:18" x14ac:dyDescent="0.25">
      <c r="I193" s="23"/>
      <c r="J193" s="23"/>
      <c r="K193" s="23"/>
      <c r="L193" s="23"/>
      <c r="M193" s="23"/>
      <c r="N193" s="23"/>
      <c r="O193" s="23"/>
      <c r="P193" s="23"/>
      <c r="Q193" s="164"/>
      <c r="R193" s="23"/>
    </row>
    <row r="194" spans="9:18" x14ac:dyDescent="0.25">
      <c r="I194" s="23"/>
      <c r="J194" s="23"/>
      <c r="K194" s="23"/>
      <c r="L194" s="23"/>
      <c r="M194" s="23"/>
      <c r="N194" s="23"/>
      <c r="O194" s="23"/>
      <c r="P194" s="23"/>
      <c r="Q194" s="164"/>
      <c r="R194" s="23"/>
    </row>
    <row r="195" spans="9:18" x14ac:dyDescent="0.25">
      <c r="I195" s="23"/>
      <c r="J195" s="23"/>
      <c r="K195" s="23"/>
      <c r="L195" s="23"/>
      <c r="M195" s="23"/>
      <c r="N195" s="23"/>
      <c r="O195" s="23"/>
      <c r="P195" s="23"/>
      <c r="Q195" s="164"/>
      <c r="R195" s="23"/>
    </row>
    <row r="196" spans="9:18" x14ac:dyDescent="0.25">
      <c r="I196" s="23"/>
      <c r="J196" s="23"/>
      <c r="K196" s="23"/>
      <c r="L196" s="23"/>
      <c r="M196" s="23"/>
      <c r="N196" s="23"/>
      <c r="O196" s="23"/>
      <c r="P196" s="23"/>
      <c r="Q196" s="163"/>
      <c r="R196" s="23"/>
    </row>
    <row r="197" spans="9:18" x14ac:dyDescent="0.25">
      <c r="I197" s="23"/>
      <c r="J197" s="23"/>
      <c r="K197" s="23"/>
      <c r="L197" s="23"/>
      <c r="M197" s="23"/>
      <c r="N197" s="23"/>
      <c r="O197" s="23"/>
      <c r="P197" s="23"/>
      <c r="Q197" s="163"/>
      <c r="R197" s="23"/>
    </row>
    <row r="198" spans="9:18" x14ac:dyDescent="0.25">
      <c r="I198" s="23"/>
      <c r="J198" s="23"/>
      <c r="K198" s="23"/>
      <c r="L198" s="23"/>
      <c r="M198" s="23"/>
      <c r="N198" s="23"/>
      <c r="O198" s="23"/>
      <c r="P198" s="23"/>
      <c r="Q198" s="163"/>
    </row>
    <row r="199" spans="9:18" x14ac:dyDescent="0.25">
      <c r="I199" s="23"/>
      <c r="J199" s="23"/>
      <c r="K199" s="23"/>
      <c r="L199" s="23"/>
      <c r="M199" s="23"/>
      <c r="N199" s="23"/>
      <c r="O199" s="23"/>
      <c r="P199" s="23"/>
      <c r="Q199" s="163"/>
    </row>
    <row r="200" spans="9:18" x14ac:dyDescent="0.25">
      <c r="I200" s="23"/>
      <c r="J200" s="23"/>
      <c r="K200" s="23"/>
      <c r="L200" s="23"/>
      <c r="M200" s="23"/>
      <c r="N200" s="23"/>
      <c r="O200" s="23"/>
      <c r="P200" s="23"/>
      <c r="Q200" s="163"/>
    </row>
    <row r="201" spans="9:18" x14ac:dyDescent="0.25">
      <c r="I201" s="23"/>
      <c r="J201" s="23"/>
      <c r="K201" s="23"/>
      <c r="L201" s="23"/>
      <c r="M201" s="23"/>
      <c r="N201" s="23"/>
      <c r="O201" s="23"/>
      <c r="P201" s="23"/>
      <c r="Q201" s="163"/>
    </row>
    <row r="202" spans="9:18" x14ac:dyDescent="0.25">
      <c r="I202" s="23"/>
      <c r="J202" s="23"/>
      <c r="K202" s="23"/>
      <c r="L202" s="23"/>
      <c r="M202" s="23"/>
      <c r="N202" s="23"/>
      <c r="O202" s="23"/>
      <c r="P202" s="23"/>
      <c r="Q202" s="163"/>
    </row>
    <row r="203" spans="9:18" x14ac:dyDescent="0.25">
      <c r="I203" s="23"/>
      <c r="J203" s="23"/>
      <c r="K203" s="23"/>
      <c r="L203" s="23"/>
      <c r="M203" s="23"/>
      <c r="N203" s="23"/>
      <c r="O203" s="23"/>
      <c r="P203" s="23"/>
      <c r="Q203" s="163"/>
    </row>
    <row r="204" spans="9:18" x14ac:dyDescent="0.25">
      <c r="I204" s="23"/>
      <c r="J204" s="23"/>
      <c r="K204" s="23"/>
      <c r="L204" s="23"/>
      <c r="M204" s="23"/>
      <c r="N204" s="23"/>
      <c r="O204" s="23"/>
      <c r="P204" s="23"/>
      <c r="Q204" s="163"/>
    </row>
    <row r="205" spans="9:18" x14ac:dyDescent="0.25">
      <c r="I205" s="23"/>
      <c r="J205" s="23"/>
      <c r="K205" s="23"/>
      <c r="L205" s="23"/>
      <c r="M205" s="23"/>
      <c r="N205" s="23"/>
      <c r="O205" s="23"/>
      <c r="P205" s="23"/>
      <c r="Q205" s="163"/>
    </row>
    <row r="206" spans="9:18" x14ac:dyDescent="0.25">
      <c r="I206" s="23"/>
      <c r="J206" s="23"/>
      <c r="K206" s="23"/>
      <c r="L206" s="23"/>
      <c r="M206" s="23"/>
      <c r="N206" s="23"/>
      <c r="O206" s="23"/>
      <c r="P206" s="23"/>
      <c r="Q206" s="163"/>
    </row>
    <row r="207" spans="9:18" x14ac:dyDescent="0.25">
      <c r="I207" s="23"/>
      <c r="J207" s="23"/>
      <c r="K207" s="23"/>
      <c r="L207" s="23"/>
      <c r="M207" s="23"/>
      <c r="N207" s="23"/>
      <c r="O207" s="23"/>
      <c r="P207" s="23"/>
      <c r="Q207" s="163"/>
    </row>
    <row r="208" spans="9:18" x14ac:dyDescent="0.25">
      <c r="I208" s="23"/>
      <c r="J208" s="23"/>
      <c r="K208" s="23"/>
      <c r="L208" s="23"/>
      <c r="M208" s="23"/>
      <c r="N208" s="23"/>
      <c r="O208" s="23"/>
      <c r="P208" s="23"/>
      <c r="Q208" s="163"/>
    </row>
    <row r="209" spans="9:17" x14ac:dyDescent="0.25">
      <c r="I209" s="23"/>
      <c r="J209" s="23"/>
      <c r="K209" s="23"/>
      <c r="L209" s="23"/>
      <c r="M209" s="23"/>
      <c r="N209" s="23"/>
      <c r="O209" s="23"/>
      <c r="P209" s="23"/>
      <c r="Q209" s="163"/>
    </row>
    <row r="210" spans="9:17" x14ac:dyDescent="0.25">
      <c r="I210" s="23"/>
      <c r="J210" s="23"/>
      <c r="K210" s="23"/>
      <c r="L210" s="23"/>
      <c r="M210" s="23"/>
      <c r="N210" s="23"/>
      <c r="O210" s="23"/>
      <c r="P210" s="23"/>
      <c r="Q210" s="163"/>
    </row>
    <row r="211" spans="9:17" x14ac:dyDescent="0.25">
      <c r="I211" s="23"/>
      <c r="J211" s="23"/>
      <c r="K211" s="23"/>
      <c r="L211" s="23"/>
      <c r="M211" s="23"/>
      <c r="N211" s="23"/>
      <c r="O211" s="23"/>
      <c r="P211" s="23"/>
      <c r="Q211" s="163"/>
    </row>
    <row r="212" spans="9:17" x14ac:dyDescent="0.25">
      <c r="I212" s="23"/>
      <c r="J212" s="23"/>
      <c r="K212" s="23"/>
      <c r="L212" s="23"/>
      <c r="M212" s="23"/>
      <c r="N212" s="23"/>
      <c r="O212" s="23"/>
      <c r="P212" s="23"/>
      <c r="Q212" s="163"/>
    </row>
    <row r="213" spans="9:17" x14ac:dyDescent="0.25">
      <c r="I213" s="23"/>
      <c r="J213" s="23"/>
      <c r="K213" s="23"/>
      <c r="L213" s="23"/>
      <c r="M213" s="23"/>
      <c r="N213" s="23"/>
      <c r="O213" s="23"/>
      <c r="P213" s="23"/>
      <c r="Q213" s="163"/>
    </row>
    <row r="214" spans="9:17" x14ac:dyDescent="0.25">
      <c r="I214" s="23"/>
      <c r="J214" s="23"/>
      <c r="K214" s="23"/>
      <c r="L214" s="23"/>
      <c r="M214" s="23"/>
      <c r="N214" s="23"/>
      <c r="O214" s="23"/>
      <c r="P214" s="23"/>
      <c r="Q214" s="163"/>
    </row>
    <row r="215" spans="9:17" x14ac:dyDescent="0.25">
      <c r="I215" s="23"/>
      <c r="J215" s="23"/>
      <c r="K215" s="23"/>
      <c r="L215" s="23"/>
      <c r="M215" s="23"/>
      <c r="N215" s="23"/>
      <c r="O215" s="23"/>
      <c r="P215" s="23"/>
      <c r="Q215" s="163"/>
    </row>
    <row r="216" spans="9:17" x14ac:dyDescent="0.25">
      <c r="I216" s="23"/>
      <c r="J216" s="23"/>
      <c r="K216" s="23"/>
      <c r="L216" s="23"/>
      <c r="M216" s="23"/>
      <c r="N216" s="23"/>
      <c r="O216" s="23"/>
      <c r="P216" s="23"/>
      <c r="Q216" s="163"/>
    </row>
    <row r="217" spans="9:17" x14ac:dyDescent="0.25">
      <c r="I217" s="23"/>
      <c r="J217" s="23"/>
      <c r="K217" s="23"/>
      <c r="L217" s="23"/>
      <c r="M217" s="23"/>
      <c r="N217" s="23"/>
      <c r="O217" s="23"/>
      <c r="P217" s="23"/>
      <c r="Q217" s="163"/>
    </row>
    <row r="218" spans="9:17" x14ac:dyDescent="0.25">
      <c r="I218" s="23"/>
      <c r="J218" s="23"/>
      <c r="K218" s="23"/>
      <c r="L218" s="23"/>
      <c r="M218" s="23"/>
      <c r="N218" s="23"/>
      <c r="O218" s="23"/>
      <c r="P218" s="23"/>
      <c r="Q218" s="163"/>
    </row>
    <row r="219" spans="9:17" x14ac:dyDescent="0.25">
      <c r="I219" s="23"/>
      <c r="J219" s="23"/>
      <c r="K219" s="23"/>
      <c r="L219" s="23"/>
      <c r="M219" s="23"/>
      <c r="N219" s="23"/>
      <c r="O219" s="23"/>
      <c r="P219" s="23"/>
      <c r="Q219" s="163"/>
    </row>
    <row r="220" spans="9:17" x14ac:dyDescent="0.25">
      <c r="I220" s="23"/>
      <c r="J220" s="23"/>
      <c r="K220" s="23"/>
      <c r="L220" s="23"/>
      <c r="M220" s="23"/>
      <c r="N220" s="23"/>
      <c r="O220" s="23"/>
      <c r="P220" s="23"/>
      <c r="Q220" s="163"/>
    </row>
    <row r="221" spans="9:17" x14ac:dyDescent="0.25">
      <c r="I221" s="23"/>
      <c r="J221" s="23"/>
      <c r="K221" s="23"/>
      <c r="L221" s="23"/>
      <c r="M221" s="23"/>
      <c r="N221" s="23"/>
      <c r="O221" s="23"/>
      <c r="P221" s="23"/>
      <c r="Q221" s="163"/>
    </row>
    <row r="222" spans="9:17" x14ac:dyDescent="0.25">
      <c r="I222" s="23"/>
      <c r="J222" s="23"/>
      <c r="K222" s="23"/>
      <c r="L222" s="23"/>
      <c r="M222" s="23"/>
      <c r="N222" s="23"/>
      <c r="O222" s="23"/>
      <c r="P222" s="23"/>
      <c r="Q222" s="163"/>
    </row>
    <row r="223" spans="9:17" x14ac:dyDescent="0.25">
      <c r="I223" s="23"/>
      <c r="J223" s="23"/>
      <c r="K223" s="23"/>
      <c r="L223" s="23"/>
      <c r="M223" s="23"/>
      <c r="N223" s="23"/>
      <c r="O223" s="23"/>
      <c r="P223" s="23"/>
      <c r="Q223" s="163"/>
    </row>
    <row r="224" spans="9:17" x14ac:dyDescent="0.25">
      <c r="I224" s="23"/>
      <c r="J224" s="23"/>
      <c r="K224" s="23"/>
      <c r="L224" s="23"/>
      <c r="M224" s="23"/>
      <c r="N224" s="23"/>
      <c r="O224" s="23"/>
      <c r="P224" s="23"/>
      <c r="Q224" s="163"/>
    </row>
    <row r="225" spans="9:17" x14ac:dyDescent="0.25">
      <c r="I225" s="23"/>
      <c r="J225" s="23"/>
      <c r="K225" s="23"/>
      <c r="L225" s="23"/>
      <c r="M225" s="23"/>
      <c r="N225" s="23"/>
      <c r="O225" s="23"/>
      <c r="P225" s="23"/>
      <c r="Q225" s="163"/>
    </row>
    <row r="226" spans="9:17" x14ac:dyDescent="0.25">
      <c r="I226" s="23"/>
      <c r="J226" s="23"/>
      <c r="K226" s="23"/>
      <c r="L226" s="23"/>
      <c r="M226" s="23"/>
      <c r="N226" s="23"/>
      <c r="O226" s="23"/>
      <c r="P226" s="23"/>
      <c r="Q226" s="163"/>
    </row>
    <row r="227" spans="9:17" x14ac:dyDescent="0.25">
      <c r="I227" s="23"/>
      <c r="J227" s="23"/>
      <c r="K227" s="23"/>
      <c r="L227" s="23"/>
      <c r="M227" s="23"/>
      <c r="N227" s="23"/>
      <c r="O227" s="23"/>
      <c r="P227" s="23"/>
      <c r="Q227" s="40"/>
    </row>
    <row r="228" spans="9:17" x14ac:dyDescent="0.25">
      <c r="I228" s="23"/>
      <c r="J228" s="23"/>
      <c r="K228" s="23"/>
      <c r="L228" s="23"/>
      <c r="M228" s="23"/>
      <c r="N228" s="23"/>
      <c r="O228" s="23"/>
      <c r="P228" s="23"/>
      <c r="Q228" s="40"/>
    </row>
    <row r="229" spans="9:17" x14ac:dyDescent="0.25">
      <c r="I229" s="23"/>
      <c r="J229" s="23"/>
      <c r="K229" s="23"/>
      <c r="L229" s="23"/>
      <c r="M229" s="23"/>
      <c r="N229" s="23"/>
      <c r="O229" s="23"/>
      <c r="P229" s="23"/>
      <c r="Q229" s="40"/>
    </row>
    <row r="230" spans="9:17" x14ac:dyDescent="0.25">
      <c r="I230" s="23"/>
      <c r="J230" s="23"/>
      <c r="K230" s="23"/>
      <c r="L230" s="23"/>
      <c r="M230" s="23"/>
      <c r="N230" s="23"/>
      <c r="O230" s="23"/>
      <c r="P230" s="23"/>
      <c r="Q230" s="40"/>
    </row>
    <row r="231" spans="9:17" x14ac:dyDescent="0.25">
      <c r="I231" s="23"/>
      <c r="J231" s="23"/>
      <c r="K231" s="23"/>
      <c r="L231" s="23"/>
      <c r="M231" s="23"/>
      <c r="N231" s="23"/>
      <c r="O231" s="23"/>
      <c r="P231" s="23"/>
      <c r="Q231" s="40"/>
    </row>
    <row r="232" spans="9:17" x14ac:dyDescent="0.25">
      <c r="I232" s="23"/>
      <c r="J232" s="23"/>
      <c r="K232" s="23"/>
      <c r="L232" s="23"/>
      <c r="M232" s="23"/>
      <c r="N232" s="23"/>
      <c r="O232" s="23"/>
      <c r="P232" s="23"/>
      <c r="Q232" s="40"/>
    </row>
    <row r="233" spans="9:17" x14ac:dyDescent="0.25">
      <c r="I233" s="23"/>
      <c r="J233" s="23"/>
      <c r="K233" s="23"/>
      <c r="L233" s="23"/>
      <c r="M233" s="23"/>
      <c r="N233" s="23"/>
      <c r="O233" s="23"/>
      <c r="P233" s="23"/>
      <c r="Q233" s="40"/>
    </row>
    <row r="234" spans="9:17" x14ac:dyDescent="0.25">
      <c r="I234" s="23"/>
      <c r="J234" s="23"/>
      <c r="K234" s="23"/>
      <c r="L234" s="23"/>
      <c r="M234" s="23"/>
      <c r="N234" s="23"/>
      <c r="O234" s="23"/>
      <c r="P234" s="23"/>
      <c r="Q234" s="40"/>
    </row>
    <row r="235" spans="9:17" x14ac:dyDescent="0.25">
      <c r="I235" s="23"/>
      <c r="J235" s="23"/>
      <c r="K235" s="23"/>
      <c r="L235" s="23"/>
      <c r="M235" s="23"/>
      <c r="N235" s="23"/>
      <c r="O235" s="23"/>
      <c r="P235" s="23"/>
      <c r="Q235" s="40"/>
    </row>
    <row r="236" spans="9:17" x14ac:dyDescent="0.25">
      <c r="I236" s="23"/>
      <c r="J236" s="23"/>
      <c r="K236" s="23"/>
      <c r="L236" s="23"/>
      <c r="M236" s="23"/>
      <c r="N236" s="23"/>
      <c r="O236" s="23"/>
      <c r="P236" s="23"/>
      <c r="Q236" s="40"/>
    </row>
    <row r="237" spans="9:17" x14ac:dyDescent="0.25">
      <c r="I237" s="23"/>
      <c r="J237" s="23"/>
      <c r="K237" s="23"/>
      <c r="L237" s="23"/>
      <c r="M237" s="23"/>
      <c r="N237" s="23"/>
      <c r="O237" s="23"/>
      <c r="P237" s="23"/>
      <c r="Q237" s="40"/>
    </row>
    <row r="238" spans="9:17" x14ac:dyDescent="0.25">
      <c r="I238" s="23"/>
      <c r="J238" s="23"/>
      <c r="K238" s="23"/>
      <c r="L238" s="23"/>
      <c r="M238" s="23"/>
      <c r="N238" s="23"/>
      <c r="O238" s="23"/>
      <c r="P238" s="23"/>
      <c r="Q238" s="40"/>
    </row>
    <row r="239" spans="9:17" x14ac:dyDescent="0.25">
      <c r="I239" s="23"/>
      <c r="J239" s="23"/>
      <c r="K239" s="23"/>
      <c r="L239" s="23"/>
      <c r="M239" s="23"/>
      <c r="N239" s="23"/>
      <c r="O239" s="23"/>
      <c r="P239" s="23"/>
      <c r="Q239" s="40"/>
    </row>
    <row r="240" spans="9:17" x14ac:dyDescent="0.25">
      <c r="I240" s="23"/>
      <c r="J240" s="23"/>
      <c r="K240" s="23"/>
      <c r="L240" s="23"/>
      <c r="M240" s="23"/>
      <c r="N240" s="23"/>
      <c r="O240" s="23"/>
      <c r="P240" s="23"/>
      <c r="Q240" s="40"/>
    </row>
    <row r="241" spans="9:17" x14ac:dyDescent="0.25">
      <c r="I241" s="23"/>
      <c r="J241" s="23"/>
      <c r="K241" s="23"/>
      <c r="L241" s="23"/>
      <c r="M241" s="23"/>
      <c r="N241" s="23"/>
      <c r="O241" s="23"/>
      <c r="P241" s="23"/>
      <c r="Q241" s="40"/>
    </row>
    <row r="242" spans="9:17" x14ac:dyDescent="0.25">
      <c r="I242" s="23"/>
      <c r="J242" s="23"/>
      <c r="K242" s="23"/>
      <c r="L242" s="23"/>
      <c r="M242" s="23"/>
      <c r="N242" s="23"/>
      <c r="O242" s="23"/>
      <c r="P242" s="23"/>
      <c r="Q242" s="40"/>
    </row>
    <row r="243" spans="9:17" x14ac:dyDescent="0.25">
      <c r="I243" s="23"/>
      <c r="J243" s="23"/>
      <c r="K243" s="23"/>
      <c r="L243" s="23"/>
      <c r="M243" s="23"/>
      <c r="N243" s="23"/>
      <c r="O243" s="23"/>
      <c r="P243" s="23"/>
      <c r="Q243" s="40"/>
    </row>
    <row r="244" spans="9:17" x14ac:dyDescent="0.25"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9:17" x14ac:dyDescent="0.25"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9:17" x14ac:dyDescent="0.25"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9:17" x14ac:dyDescent="0.25"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9:17" x14ac:dyDescent="0.25"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9:17" x14ac:dyDescent="0.25"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9:17" x14ac:dyDescent="0.25"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9:17" x14ac:dyDescent="0.25">
      <c r="I251" s="23"/>
      <c r="J251" s="23"/>
      <c r="K251" s="23"/>
      <c r="L251" s="23"/>
      <c r="M251" s="23"/>
      <c r="N251" s="23"/>
      <c r="O251" s="23"/>
      <c r="P251" s="23"/>
      <c r="Q251" s="23"/>
    </row>
  </sheetData>
  <mergeCells count="5">
    <mergeCell ref="S153:T153"/>
    <mergeCell ref="A5:H5"/>
    <mergeCell ref="A6:H6"/>
    <mergeCell ref="A7:H7"/>
    <mergeCell ref="S152:T152"/>
  </mergeCells>
  <pageMargins left="0.51181102362204722" right="0.11811023622047245" top="0" bottom="0.74803149606299213" header="0.31496062992125984" footer="0.31496062992125984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54"/>
  <sheetViews>
    <sheetView topLeftCell="G1" workbookViewId="0">
      <selection activeCell="T158" sqref="T158"/>
    </sheetView>
  </sheetViews>
  <sheetFormatPr baseColWidth="10" defaultColWidth="11.42578125" defaultRowHeight="15" x14ac:dyDescent="0.2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4" customWidth="1"/>
    <col min="6" max="6" width="34.5703125" customWidth="1"/>
    <col min="7" max="7" width="16.85546875" customWidth="1"/>
    <col min="8" max="8" width="15.5703125" style="27" customWidth="1"/>
    <col min="9" max="9" width="23.42578125" hidden="1" customWidth="1"/>
    <col min="10" max="10" width="15.85546875" customWidth="1"/>
    <col min="11" max="11" width="16.140625" customWidth="1"/>
    <col min="12" max="12" width="13.42578125" customWidth="1"/>
    <col min="13" max="13" width="14.85546875" customWidth="1"/>
    <col min="14" max="14" width="13.28515625" customWidth="1"/>
    <col min="15" max="15" width="20.140625" customWidth="1"/>
    <col min="16" max="16" width="19.5703125" customWidth="1"/>
    <col min="17" max="17" width="14.7109375" bestFit="1" customWidth="1"/>
    <col min="18" max="18" width="15.140625" customWidth="1"/>
    <col min="20" max="20" width="13.140625" bestFit="1" customWidth="1"/>
    <col min="224" max="224" width="4.85546875" bestFit="1" customWidth="1"/>
    <col min="225" max="225" width="5.85546875" bestFit="1" customWidth="1"/>
    <col min="226" max="226" width="7.42578125" bestFit="1" customWidth="1"/>
    <col min="227" max="227" width="8.140625" bestFit="1" customWidth="1"/>
    <col min="228" max="228" width="4.5703125" bestFit="1" customWidth="1"/>
    <col min="229" max="229" width="57.5703125" customWidth="1"/>
    <col min="230" max="230" width="14.28515625" customWidth="1"/>
    <col min="231" max="231" width="0.85546875" customWidth="1"/>
    <col min="232" max="232" width="16.5703125" bestFit="1" customWidth="1"/>
    <col min="233" max="233" width="13.42578125" bestFit="1" customWidth="1"/>
    <col min="480" max="480" width="4.85546875" bestFit="1" customWidth="1"/>
    <col min="481" max="481" width="5.85546875" bestFit="1" customWidth="1"/>
    <col min="482" max="482" width="7.42578125" bestFit="1" customWidth="1"/>
    <col min="483" max="483" width="8.140625" bestFit="1" customWidth="1"/>
    <col min="484" max="484" width="4.5703125" bestFit="1" customWidth="1"/>
    <col min="485" max="485" width="57.5703125" customWidth="1"/>
    <col min="486" max="486" width="14.28515625" customWidth="1"/>
    <col min="487" max="487" width="0.85546875" customWidth="1"/>
    <col min="488" max="488" width="16.5703125" bestFit="1" customWidth="1"/>
    <col min="489" max="489" width="13.42578125" bestFit="1" customWidth="1"/>
    <col min="736" max="736" width="4.85546875" bestFit="1" customWidth="1"/>
    <col min="737" max="737" width="5.85546875" bestFit="1" customWidth="1"/>
    <col min="738" max="738" width="7.42578125" bestFit="1" customWidth="1"/>
    <col min="739" max="739" width="8.140625" bestFit="1" customWidth="1"/>
    <col min="740" max="740" width="4.5703125" bestFit="1" customWidth="1"/>
    <col min="741" max="741" width="57.5703125" customWidth="1"/>
    <col min="742" max="742" width="14.28515625" customWidth="1"/>
    <col min="743" max="743" width="0.85546875" customWidth="1"/>
    <col min="744" max="744" width="16.5703125" bestFit="1" customWidth="1"/>
    <col min="745" max="745" width="13.42578125" bestFit="1" customWidth="1"/>
    <col min="992" max="992" width="4.85546875" bestFit="1" customWidth="1"/>
    <col min="993" max="993" width="5.85546875" bestFit="1" customWidth="1"/>
    <col min="994" max="994" width="7.42578125" bestFit="1" customWidth="1"/>
    <col min="995" max="995" width="8.140625" bestFit="1" customWidth="1"/>
    <col min="996" max="996" width="4.5703125" bestFit="1" customWidth="1"/>
    <col min="997" max="997" width="57.5703125" customWidth="1"/>
    <col min="998" max="998" width="14.28515625" customWidth="1"/>
    <col min="999" max="999" width="0.85546875" customWidth="1"/>
    <col min="1000" max="1000" width="16.5703125" bestFit="1" customWidth="1"/>
    <col min="1001" max="1001" width="13.42578125" bestFit="1" customWidth="1"/>
    <col min="1248" max="1248" width="4.85546875" bestFit="1" customWidth="1"/>
    <col min="1249" max="1249" width="5.85546875" bestFit="1" customWidth="1"/>
    <col min="1250" max="1250" width="7.42578125" bestFit="1" customWidth="1"/>
    <col min="1251" max="1251" width="8.140625" bestFit="1" customWidth="1"/>
    <col min="1252" max="1252" width="4.5703125" bestFit="1" customWidth="1"/>
    <col min="1253" max="1253" width="57.5703125" customWidth="1"/>
    <col min="1254" max="1254" width="14.28515625" customWidth="1"/>
    <col min="1255" max="1255" width="0.85546875" customWidth="1"/>
    <col min="1256" max="1256" width="16.5703125" bestFit="1" customWidth="1"/>
    <col min="1257" max="1257" width="13.42578125" bestFit="1" customWidth="1"/>
    <col min="1504" max="1504" width="4.85546875" bestFit="1" customWidth="1"/>
    <col min="1505" max="1505" width="5.85546875" bestFit="1" customWidth="1"/>
    <col min="1506" max="1506" width="7.42578125" bestFit="1" customWidth="1"/>
    <col min="1507" max="1507" width="8.140625" bestFit="1" customWidth="1"/>
    <col min="1508" max="1508" width="4.5703125" bestFit="1" customWidth="1"/>
    <col min="1509" max="1509" width="57.5703125" customWidth="1"/>
    <col min="1510" max="1510" width="14.28515625" customWidth="1"/>
    <col min="1511" max="1511" width="0.85546875" customWidth="1"/>
    <col min="1512" max="1512" width="16.5703125" bestFit="1" customWidth="1"/>
    <col min="1513" max="1513" width="13.42578125" bestFit="1" customWidth="1"/>
    <col min="1760" max="1760" width="4.85546875" bestFit="1" customWidth="1"/>
    <col min="1761" max="1761" width="5.85546875" bestFit="1" customWidth="1"/>
    <col min="1762" max="1762" width="7.42578125" bestFit="1" customWidth="1"/>
    <col min="1763" max="1763" width="8.140625" bestFit="1" customWidth="1"/>
    <col min="1764" max="1764" width="4.5703125" bestFit="1" customWidth="1"/>
    <col min="1765" max="1765" width="57.5703125" customWidth="1"/>
    <col min="1766" max="1766" width="14.28515625" customWidth="1"/>
    <col min="1767" max="1767" width="0.85546875" customWidth="1"/>
    <col min="1768" max="1768" width="16.5703125" bestFit="1" customWidth="1"/>
    <col min="1769" max="1769" width="13.42578125" bestFit="1" customWidth="1"/>
    <col min="2016" max="2016" width="4.85546875" bestFit="1" customWidth="1"/>
    <col min="2017" max="2017" width="5.85546875" bestFit="1" customWidth="1"/>
    <col min="2018" max="2018" width="7.42578125" bestFit="1" customWidth="1"/>
    <col min="2019" max="2019" width="8.140625" bestFit="1" customWidth="1"/>
    <col min="2020" max="2020" width="4.5703125" bestFit="1" customWidth="1"/>
    <col min="2021" max="2021" width="57.5703125" customWidth="1"/>
    <col min="2022" max="2022" width="14.28515625" customWidth="1"/>
    <col min="2023" max="2023" width="0.85546875" customWidth="1"/>
    <col min="2024" max="2024" width="16.5703125" bestFit="1" customWidth="1"/>
    <col min="2025" max="2025" width="13.42578125" bestFit="1" customWidth="1"/>
    <col min="2272" max="2272" width="4.85546875" bestFit="1" customWidth="1"/>
    <col min="2273" max="2273" width="5.85546875" bestFit="1" customWidth="1"/>
    <col min="2274" max="2274" width="7.42578125" bestFit="1" customWidth="1"/>
    <col min="2275" max="2275" width="8.140625" bestFit="1" customWidth="1"/>
    <col min="2276" max="2276" width="4.5703125" bestFit="1" customWidth="1"/>
    <col min="2277" max="2277" width="57.5703125" customWidth="1"/>
    <col min="2278" max="2278" width="14.28515625" customWidth="1"/>
    <col min="2279" max="2279" width="0.85546875" customWidth="1"/>
    <col min="2280" max="2280" width="16.5703125" bestFit="1" customWidth="1"/>
    <col min="2281" max="2281" width="13.42578125" bestFit="1" customWidth="1"/>
    <col min="2528" max="2528" width="4.85546875" bestFit="1" customWidth="1"/>
    <col min="2529" max="2529" width="5.85546875" bestFit="1" customWidth="1"/>
    <col min="2530" max="2530" width="7.42578125" bestFit="1" customWidth="1"/>
    <col min="2531" max="2531" width="8.140625" bestFit="1" customWidth="1"/>
    <col min="2532" max="2532" width="4.5703125" bestFit="1" customWidth="1"/>
    <col min="2533" max="2533" width="57.5703125" customWidth="1"/>
    <col min="2534" max="2534" width="14.28515625" customWidth="1"/>
    <col min="2535" max="2535" width="0.85546875" customWidth="1"/>
    <col min="2536" max="2536" width="16.5703125" bestFit="1" customWidth="1"/>
    <col min="2537" max="2537" width="13.42578125" bestFit="1" customWidth="1"/>
    <col min="2784" max="2784" width="4.85546875" bestFit="1" customWidth="1"/>
    <col min="2785" max="2785" width="5.85546875" bestFit="1" customWidth="1"/>
    <col min="2786" max="2786" width="7.42578125" bestFit="1" customWidth="1"/>
    <col min="2787" max="2787" width="8.140625" bestFit="1" customWidth="1"/>
    <col min="2788" max="2788" width="4.5703125" bestFit="1" customWidth="1"/>
    <col min="2789" max="2789" width="57.5703125" customWidth="1"/>
    <col min="2790" max="2790" width="14.28515625" customWidth="1"/>
    <col min="2791" max="2791" width="0.85546875" customWidth="1"/>
    <col min="2792" max="2792" width="16.5703125" bestFit="1" customWidth="1"/>
    <col min="2793" max="2793" width="13.42578125" bestFit="1" customWidth="1"/>
    <col min="3040" max="3040" width="4.85546875" bestFit="1" customWidth="1"/>
    <col min="3041" max="3041" width="5.85546875" bestFit="1" customWidth="1"/>
    <col min="3042" max="3042" width="7.42578125" bestFit="1" customWidth="1"/>
    <col min="3043" max="3043" width="8.140625" bestFit="1" customWidth="1"/>
    <col min="3044" max="3044" width="4.5703125" bestFit="1" customWidth="1"/>
    <col min="3045" max="3045" width="57.5703125" customWidth="1"/>
    <col min="3046" max="3046" width="14.28515625" customWidth="1"/>
    <col min="3047" max="3047" width="0.85546875" customWidth="1"/>
    <col min="3048" max="3048" width="16.5703125" bestFit="1" customWidth="1"/>
    <col min="3049" max="3049" width="13.42578125" bestFit="1" customWidth="1"/>
    <col min="3296" max="3296" width="4.85546875" bestFit="1" customWidth="1"/>
    <col min="3297" max="3297" width="5.85546875" bestFit="1" customWidth="1"/>
    <col min="3298" max="3298" width="7.42578125" bestFit="1" customWidth="1"/>
    <col min="3299" max="3299" width="8.140625" bestFit="1" customWidth="1"/>
    <col min="3300" max="3300" width="4.5703125" bestFit="1" customWidth="1"/>
    <col min="3301" max="3301" width="57.5703125" customWidth="1"/>
    <col min="3302" max="3302" width="14.28515625" customWidth="1"/>
    <col min="3303" max="3303" width="0.85546875" customWidth="1"/>
    <col min="3304" max="3304" width="16.5703125" bestFit="1" customWidth="1"/>
    <col min="3305" max="3305" width="13.42578125" bestFit="1" customWidth="1"/>
    <col min="3552" max="3552" width="4.85546875" bestFit="1" customWidth="1"/>
    <col min="3553" max="3553" width="5.85546875" bestFit="1" customWidth="1"/>
    <col min="3554" max="3554" width="7.42578125" bestFit="1" customWidth="1"/>
    <col min="3555" max="3555" width="8.140625" bestFit="1" customWidth="1"/>
    <col min="3556" max="3556" width="4.5703125" bestFit="1" customWidth="1"/>
    <col min="3557" max="3557" width="57.5703125" customWidth="1"/>
    <col min="3558" max="3558" width="14.28515625" customWidth="1"/>
    <col min="3559" max="3559" width="0.85546875" customWidth="1"/>
    <col min="3560" max="3560" width="16.5703125" bestFit="1" customWidth="1"/>
    <col min="3561" max="3561" width="13.42578125" bestFit="1" customWidth="1"/>
    <col min="3808" max="3808" width="4.85546875" bestFit="1" customWidth="1"/>
    <col min="3809" max="3809" width="5.85546875" bestFit="1" customWidth="1"/>
    <col min="3810" max="3810" width="7.42578125" bestFit="1" customWidth="1"/>
    <col min="3811" max="3811" width="8.140625" bestFit="1" customWidth="1"/>
    <col min="3812" max="3812" width="4.5703125" bestFit="1" customWidth="1"/>
    <col min="3813" max="3813" width="57.5703125" customWidth="1"/>
    <col min="3814" max="3814" width="14.28515625" customWidth="1"/>
    <col min="3815" max="3815" width="0.85546875" customWidth="1"/>
    <col min="3816" max="3816" width="16.5703125" bestFit="1" customWidth="1"/>
    <col min="3817" max="3817" width="13.42578125" bestFit="1" customWidth="1"/>
    <col min="4064" max="4064" width="4.85546875" bestFit="1" customWidth="1"/>
    <col min="4065" max="4065" width="5.85546875" bestFit="1" customWidth="1"/>
    <col min="4066" max="4066" width="7.42578125" bestFit="1" customWidth="1"/>
    <col min="4067" max="4067" width="8.140625" bestFit="1" customWidth="1"/>
    <col min="4068" max="4068" width="4.5703125" bestFit="1" customWidth="1"/>
    <col min="4069" max="4069" width="57.5703125" customWidth="1"/>
    <col min="4070" max="4070" width="14.28515625" customWidth="1"/>
    <col min="4071" max="4071" width="0.85546875" customWidth="1"/>
    <col min="4072" max="4072" width="16.5703125" bestFit="1" customWidth="1"/>
    <col min="4073" max="4073" width="13.42578125" bestFit="1" customWidth="1"/>
    <col min="4320" max="4320" width="4.85546875" bestFit="1" customWidth="1"/>
    <col min="4321" max="4321" width="5.85546875" bestFit="1" customWidth="1"/>
    <col min="4322" max="4322" width="7.42578125" bestFit="1" customWidth="1"/>
    <col min="4323" max="4323" width="8.140625" bestFit="1" customWidth="1"/>
    <col min="4324" max="4324" width="4.5703125" bestFit="1" customWidth="1"/>
    <col min="4325" max="4325" width="57.5703125" customWidth="1"/>
    <col min="4326" max="4326" width="14.28515625" customWidth="1"/>
    <col min="4327" max="4327" width="0.85546875" customWidth="1"/>
    <col min="4328" max="4328" width="16.5703125" bestFit="1" customWidth="1"/>
    <col min="4329" max="4329" width="13.42578125" bestFit="1" customWidth="1"/>
    <col min="4576" max="4576" width="4.85546875" bestFit="1" customWidth="1"/>
    <col min="4577" max="4577" width="5.85546875" bestFit="1" customWidth="1"/>
    <col min="4578" max="4578" width="7.42578125" bestFit="1" customWidth="1"/>
    <col min="4579" max="4579" width="8.140625" bestFit="1" customWidth="1"/>
    <col min="4580" max="4580" width="4.5703125" bestFit="1" customWidth="1"/>
    <col min="4581" max="4581" width="57.5703125" customWidth="1"/>
    <col min="4582" max="4582" width="14.28515625" customWidth="1"/>
    <col min="4583" max="4583" width="0.85546875" customWidth="1"/>
    <col min="4584" max="4584" width="16.5703125" bestFit="1" customWidth="1"/>
    <col min="4585" max="4585" width="13.42578125" bestFit="1" customWidth="1"/>
    <col min="4832" max="4832" width="4.85546875" bestFit="1" customWidth="1"/>
    <col min="4833" max="4833" width="5.85546875" bestFit="1" customWidth="1"/>
    <col min="4834" max="4834" width="7.42578125" bestFit="1" customWidth="1"/>
    <col min="4835" max="4835" width="8.140625" bestFit="1" customWidth="1"/>
    <col min="4836" max="4836" width="4.5703125" bestFit="1" customWidth="1"/>
    <col min="4837" max="4837" width="57.5703125" customWidth="1"/>
    <col min="4838" max="4838" width="14.28515625" customWidth="1"/>
    <col min="4839" max="4839" width="0.85546875" customWidth="1"/>
    <col min="4840" max="4840" width="16.5703125" bestFit="1" customWidth="1"/>
    <col min="4841" max="4841" width="13.42578125" bestFit="1" customWidth="1"/>
    <col min="5088" max="5088" width="4.85546875" bestFit="1" customWidth="1"/>
    <col min="5089" max="5089" width="5.85546875" bestFit="1" customWidth="1"/>
    <col min="5090" max="5090" width="7.42578125" bestFit="1" customWidth="1"/>
    <col min="5091" max="5091" width="8.140625" bestFit="1" customWidth="1"/>
    <col min="5092" max="5092" width="4.5703125" bestFit="1" customWidth="1"/>
    <col min="5093" max="5093" width="57.5703125" customWidth="1"/>
    <col min="5094" max="5094" width="14.28515625" customWidth="1"/>
    <col min="5095" max="5095" width="0.85546875" customWidth="1"/>
    <col min="5096" max="5096" width="16.5703125" bestFit="1" customWidth="1"/>
    <col min="5097" max="5097" width="13.42578125" bestFit="1" customWidth="1"/>
    <col min="5344" max="5344" width="4.85546875" bestFit="1" customWidth="1"/>
    <col min="5345" max="5345" width="5.85546875" bestFit="1" customWidth="1"/>
    <col min="5346" max="5346" width="7.42578125" bestFit="1" customWidth="1"/>
    <col min="5347" max="5347" width="8.140625" bestFit="1" customWidth="1"/>
    <col min="5348" max="5348" width="4.5703125" bestFit="1" customWidth="1"/>
    <col min="5349" max="5349" width="57.5703125" customWidth="1"/>
    <col min="5350" max="5350" width="14.28515625" customWidth="1"/>
    <col min="5351" max="5351" width="0.85546875" customWidth="1"/>
    <col min="5352" max="5352" width="16.5703125" bestFit="1" customWidth="1"/>
    <col min="5353" max="5353" width="13.42578125" bestFit="1" customWidth="1"/>
    <col min="5600" max="5600" width="4.85546875" bestFit="1" customWidth="1"/>
    <col min="5601" max="5601" width="5.85546875" bestFit="1" customWidth="1"/>
    <col min="5602" max="5602" width="7.42578125" bestFit="1" customWidth="1"/>
    <col min="5603" max="5603" width="8.140625" bestFit="1" customWidth="1"/>
    <col min="5604" max="5604" width="4.5703125" bestFit="1" customWidth="1"/>
    <col min="5605" max="5605" width="57.5703125" customWidth="1"/>
    <col min="5606" max="5606" width="14.28515625" customWidth="1"/>
    <col min="5607" max="5607" width="0.85546875" customWidth="1"/>
    <col min="5608" max="5608" width="16.5703125" bestFit="1" customWidth="1"/>
    <col min="5609" max="5609" width="13.42578125" bestFit="1" customWidth="1"/>
    <col min="5856" max="5856" width="4.85546875" bestFit="1" customWidth="1"/>
    <col min="5857" max="5857" width="5.85546875" bestFit="1" customWidth="1"/>
    <col min="5858" max="5858" width="7.42578125" bestFit="1" customWidth="1"/>
    <col min="5859" max="5859" width="8.140625" bestFit="1" customWidth="1"/>
    <col min="5860" max="5860" width="4.5703125" bestFit="1" customWidth="1"/>
    <col min="5861" max="5861" width="57.5703125" customWidth="1"/>
    <col min="5862" max="5862" width="14.28515625" customWidth="1"/>
    <col min="5863" max="5863" width="0.85546875" customWidth="1"/>
    <col min="5864" max="5864" width="16.5703125" bestFit="1" customWidth="1"/>
    <col min="5865" max="5865" width="13.42578125" bestFit="1" customWidth="1"/>
    <col min="6112" max="6112" width="4.85546875" bestFit="1" customWidth="1"/>
    <col min="6113" max="6113" width="5.85546875" bestFit="1" customWidth="1"/>
    <col min="6114" max="6114" width="7.42578125" bestFit="1" customWidth="1"/>
    <col min="6115" max="6115" width="8.140625" bestFit="1" customWidth="1"/>
    <col min="6116" max="6116" width="4.5703125" bestFit="1" customWidth="1"/>
    <col min="6117" max="6117" width="57.5703125" customWidth="1"/>
    <col min="6118" max="6118" width="14.28515625" customWidth="1"/>
    <col min="6119" max="6119" width="0.85546875" customWidth="1"/>
    <col min="6120" max="6120" width="16.5703125" bestFit="1" customWidth="1"/>
    <col min="6121" max="6121" width="13.42578125" bestFit="1" customWidth="1"/>
    <col min="6368" max="6368" width="4.85546875" bestFit="1" customWidth="1"/>
    <col min="6369" max="6369" width="5.85546875" bestFit="1" customWidth="1"/>
    <col min="6370" max="6370" width="7.42578125" bestFit="1" customWidth="1"/>
    <col min="6371" max="6371" width="8.140625" bestFit="1" customWidth="1"/>
    <col min="6372" max="6372" width="4.5703125" bestFit="1" customWidth="1"/>
    <col min="6373" max="6373" width="57.5703125" customWidth="1"/>
    <col min="6374" max="6374" width="14.28515625" customWidth="1"/>
    <col min="6375" max="6375" width="0.85546875" customWidth="1"/>
    <col min="6376" max="6376" width="16.5703125" bestFit="1" customWidth="1"/>
    <col min="6377" max="6377" width="13.42578125" bestFit="1" customWidth="1"/>
    <col min="6624" max="6624" width="4.85546875" bestFit="1" customWidth="1"/>
    <col min="6625" max="6625" width="5.85546875" bestFit="1" customWidth="1"/>
    <col min="6626" max="6626" width="7.42578125" bestFit="1" customWidth="1"/>
    <col min="6627" max="6627" width="8.140625" bestFit="1" customWidth="1"/>
    <col min="6628" max="6628" width="4.5703125" bestFit="1" customWidth="1"/>
    <col min="6629" max="6629" width="57.5703125" customWidth="1"/>
    <col min="6630" max="6630" width="14.28515625" customWidth="1"/>
    <col min="6631" max="6631" width="0.85546875" customWidth="1"/>
    <col min="6632" max="6632" width="16.5703125" bestFit="1" customWidth="1"/>
    <col min="6633" max="6633" width="13.42578125" bestFit="1" customWidth="1"/>
    <col min="6880" max="6880" width="4.85546875" bestFit="1" customWidth="1"/>
    <col min="6881" max="6881" width="5.85546875" bestFit="1" customWidth="1"/>
    <col min="6882" max="6882" width="7.42578125" bestFit="1" customWidth="1"/>
    <col min="6883" max="6883" width="8.140625" bestFit="1" customWidth="1"/>
    <col min="6884" max="6884" width="4.5703125" bestFit="1" customWidth="1"/>
    <col min="6885" max="6885" width="57.5703125" customWidth="1"/>
    <col min="6886" max="6886" width="14.28515625" customWidth="1"/>
    <col min="6887" max="6887" width="0.85546875" customWidth="1"/>
    <col min="6888" max="6888" width="16.5703125" bestFit="1" customWidth="1"/>
    <col min="6889" max="6889" width="13.42578125" bestFit="1" customWidth="1"/>
    <col min="7136" max="7136" width="4.85546875" bestFit="1" customWidth="1"/>
    <col min="7137" max="7137" width="5.85546875" bestFit="1" customWidth="1"/>
    <col min="7138" max="7138" width="7.42578125" bestFit="1" customWidth="1"/>
    <col min="7139" max="7139" width="8.140625" bestFit="1" customWidth="1"/>
    <col min="7140" max="7140" width="4.5703125" bestFit="1" customWidth="1"/>
    <col min="7141" max="7141" width="57.5703125" customWidth="1"/>
    <col min="7142" max="7142" width="14.28515625" customWidth="1"/>
    <col min="7143" max="7143" width="0.85546875" customWidth="1"/>
    <col min="7144" max="7144" width="16.5703125" bestFit="1" customWidth="1"/>
    <col min="7145" max="7145" width="13.42578125" bestFit="1" customWidth="1"/>
    <col min="7392" max="7392" width="4.85546875" bestFit="1" customWidth="1"/>
    <col min="7393" max="7393" width="5.85546875" bestFit="1" customWidth="1"/>
    <col min="7394" max="7394" width="7.42578125" bestFit="1" customWidth="1"/>
    <col min="7395" max="7395" width="8.140625" bestFit="1" customWidth="1"/>
    <col min="7396" max="7396" width="4.5703125" bestFit="1" customWidth="1"/>
    <col min="7397" max="7397" width="57.5703125" customWidth="1"/>
    <col min="7398" max="7398" width="14.28515625" customWidth="1"/>
    <col min="7399" max="7399" width="0.85546875" customWidth="1"/>
    <col min="7400" max="7400" width="16.5703125" bestFit="1" customWidth="1"/>
    <col min="7401" max="7401" width="13.42578125" bestFit="1" customWidth="1"/>
    <col min="7648" max="7648" width="4.85546875" bestFit="1" customWidth="1"/>
    <col min="7649" max="7649" width="5.85546875" bestFit="1" customWidth="1"/>
    <col min="7650" max="7650" width="7.42578125" bestFit="1" customWidth="1"/>
    <col min="7651" max="7651" width="8.140625" bestFit="1" customWidth="1"/>
    <col min="7652" max="7652" width="4.5703125" bestFit="1" customWidth="1"/>
    <col min="7653" max="7653" width="57.5703125" customWidth="1"/>
    <col min="7654" max="7654" width="14.28515625" customWidth="1"/>
    <col min="7655" max="7655" width="0.85546875" customWidth="1"/>
    <col min="7656" max="7656" width="16.5703125" bestFit="1" customWidth="1"/>
    <col min="7657" max="7657" width="13.42578125" bestFit="1" customWidth="1"/>
    <col min="7904" max="7904" width="4.85546875" bestFit="1" customWidth="1"/>
    <col min="7905" max="7905" width="5.85546875" bestFit="1" customWidth="1"/>
    <col min="7906" max="7906" width="7.42578125" bestFit="1" customWidth="1"/>
    <col min="7907" max="7907" width="8.140625" bestFit="1" customWidth="1"/>
    <col min="7908" max="7908" width="4.5703125" bestFit="1" customWidth="1"/>
    <col min="7909" max="7909" width="57.5703125" customWidth="1"/>
    <col min="7910" max="7910" width="14.28515625" customWidth="1"/>
    <col min="7911" max="7911" width="0.85546875" customWidth="1"/>
    <col min="7912" max="7912" width="16.5703125" bestFit="1" customWidth="1"/>
    <col min="7913" max="7913" width="13.42578125" bestFit="1" customWidth="1"/>
    <col min="8160" max="8160" width="4.85546875" bestFit="1" customWidth="1"/>
    <col min="8161" max="8161" width="5.85546875" bestFit="1" customWidth="1"/>
    <col min="8162" max="8162" width="7.42578125" bestFit="1" customWidth="1"/>
    <col min="8163" max="8163" width="8.140625" bestFit="1" customWidth="1"/>
    <col min="8164" max="8164" width="4.5703125" bestFit="1" customWidth="1"/>
    <col min="8165" max="8165" width="57.5703125" customWidth="1"/>
    <col min="8166" max="8166" width="14.28515625" customWidth="1"/>
    <col min="8167" max="8167" width="0.85546875" customWidth="1"/>
    <col min="8168" max="8168" width="16.5703125" bestFit="1" customWidth="1"/>
    <col min="8169" max="8169" width="13.42578125" bestFit="1" customWidth="1"/>
    <col min="8416" max="8416" width="4.85546875" bestFit="1" customWidth="1"/>
    <col min="8417" max="8417" width="5.85546875" bestFit="1" customWidth="1"/>
    <col min="8418" max="8418" width="7.42578125" bestFit="1" customWidth="1"/>
    <col min="8419" max="8419" width="8.140625" bestFit="1" customWidth="1"/>
    <col min="8420" max="8420" width="4.5703125" bestFit="1" customWidth="1"/>
    <col min="8421" max="8421" width="57.5703125" customWidth="1"/>
    <col min="8422" max="8422" width="14.28515625" customWidth="1"/>
    <col min="8423" max="8423" width="0.85546875" customWidth="1"/>
    <col min="8424" max="8424" width="16.5703125" bestFit="1" customWidth="1"/>
    <col min="8425" max="8425" width="13.42578125" bestFit="1" customWidth="1"/>
    <col min="8672" max="8672" width="4.85546875" bestFit="1" customWidth="1"/>
    <col min="8673" max="8673" width="5.85546875" bestFit="1" customWidth="1"/>
    <col min="8674" max="8674" width="7.42578125" bestFit="1" customWidth="1"/>
    <col min="8675" max="8675" width="8.140625" bestFit="1" customWidth="1"/>
    <col min="8676" max="8676" width="4.5703125" bestFit="1" customWidth="1"/>
    <col min="8677" max="8677" width="57.5703125" customWidth="1"/>
    <col min="8678" max="8678" width="14.28515625" customWidth="1"/>
    <col min="8679" max="8679" width="0.85546875" customWidth="1"/>
    <col min="8680" max="8680" width="16.5703125" bestFit="1" customWidth="1"/>
    <col min="8681" max="8681" width="13.42578125" bestFit="1" customWidth="1"/>
    <col min="8928" max="8928" width="4.85546875" bestFit="1" customWidth="1"/>
    <col min="8929" max="8929" width="5.85546875" bestFit="1" customWidth="1"/>
    <col min="8930" max="8930" width="7.42578125" bestFit="1" customWidth="1"/>
    <col min="8931" max="8931" width="8.140625" bestFit="1" customWidth="1"/>
    <col min="8932" max="8932" width="4.5703125" bestFit="1" customWidth="1"/>
    <col min="8933" max="8933" width="57.5703125" customWidth="1"/>
    <col min="8934" max="8934" width="14.28515625" customWidth="1"/>
    <col min="8935" max="8935" width="0.85546875" customWidth="1"/>
    <col min="8936" max="8936" width="16.5703125" bestFit="1" customWidth="1"/>
    <col min="8937" max="8937" width="13.42578125" bestFit="1" customWidth="1"/>
    <col min="9184" max="9184" width="4.85546875" bestFit="1" customWidth="1"/>
    <col min="9185" max="9185" width="5.85546875" bestFit="1" customWidth="1"/>
    <col min="9186" max="9186" width="7.42578125" bestFit="1" customWidth="1"/>
    <col min="9187" max="9187" width="8.140625" bestFit="1" customWidth="1"/>
    <col min="9188" max="9188" width="4.5703125" bestFit="1" customWidth="1"/>
    <col min="9189" max="9189" width="57.5703125" customWidth="1"/>
    <col min="9190" max="9190" width="14.28515625" customWidth="1"/>
    <col min="9191" max="9191" width="0.85546875" customWidth="1"/>
    <col min="9192" max="9192" width="16.5703125" bestFit="1" customWidth="1"/>
    <col min="9193" max="9193" width="13.42578125" bestFit="1" customWidth="1"/>
    <col min="9440" max="9440" width="4.85546875" bestFit="1" customWidth="1"/>
    <col min="9441" max="9441" width="5.85546875" bestFit="1" customWidth="1"/>
    <col min="9442" max="9442" width="7.42578125" bestFit="1" customWidth="1"/>
    <col min="9443" max="9443" width="8.140625" bestFit="1" customWidth="1"/>
    <col min="9444" max="9444" width="4.5703125" bestFit="1" customWidth="1"/>
    <col min="9445" max="9445" width="57.5703125" customWidth="1"/>
    <col min="9446" max="9446" width="14.28515625" customWidth="1"/>
    <col min="9447" max="9447" width="0.85546875" customWidth="1"/>
    <col min="9448" max="9448" width="16.5703125" bestFit="1" customWidth="1"/>
    <col min="9449" max="9449" width="13.42578125" bestFit="1" customWidth="1"/>
    <col min="9696" max="9696" width="4.85546875" bestFit="1" customWidth="1"/>
    <col min="9697" max="9697" width="5.85546875" bestFit="1" customWidth="1"/>
    <col min="9698" max="9698" width="7.42578125" bestFit="1" customWidth="1"/>
    <col min="9699" max="9699" width="8.140625" bestFit="1" customWidth="1"/>
    <col min="9700" max="9700" width="4.5703125" bestFit="1" customWidth="1"/>
    <col min="9701" max="9701" width="57.5703125" customWidth="1"/>
    <col min="9702" max="9702" width="14.28515625" customWidth="1"/>
    <col min="9703" max="9703" width="0.85546875" customWidth="1"/>
    <col min="9704" max="9704" width="16.5703125" bestFit="1" customWidth="1"/>
    <col min="9705" max="9705" width="13.42578125" bestFit="1" customWidth="1"/>
    <col min="9952" max="9952" width="4.85546875" bestFit="1" customWidth="1"/>
    <col min="9953" max="9953" width="5.85546875" bestFit="1" customWidth="1"/>
    <col min="9954" max="9954" width="7.42578125" bestFit="1" customWidth="1"/>
    <col min="9955" max="9955" width="8.140625" bestFit="1" customWidth="1"/>
    <col min="9956" max="9956" width="4.5703125" bestFit="1" customWidth="1"/>
    <col min="9957" max="9957" width="57.5703125" customWidth="1"/>
    <col min="9958" max="9958" width="14.28515625" customWidth="1"/>
    <col min="9959" max="9959" width="0.85546875" customWidth="1"/>
    <col min="9960" max="9960" width="16.5703125" bestFit="1" customWidth="1"/>
    <col min="9961" max="9961" width="13.42578125" bestFit="1" customWidth="1"/>
    <col min="10208" max="10208" width="4.85546875" bestFit="1" customWidth="1"/>
    <col min="10209" max="10209" width="5.85546875" bestFit="1" customWidth="1"/>
    <col min="10210" max="10210" width="7.42578125" bestFit="1" customWidth="1"/>
    <col min="10211" max="10211" width="8.140625" bestFit="1" customWidth="1"/>
    <col min="10212" max="10212" width="4.5703125" bestFit="1" customWidth="1"/>
    <col min="10213" max="10213" width="57.5703125" customWidth="1"/>
    <col min="10214" max="10214" width="14.28515625" customWidth="1"/>
    <col min="10215" max="10215" width="0.85546875" customWidth="1"/>
    <col min="10216" max="10216" width="16.5703125" bestFit="1" customWidth="1"/>
    <col min="10217" max="10217" width="13.42578125" bestFit="1" customWidth="1"/>
    <col min="10464" max="10464" width="4.85546875" bestFit="1" customWidth="1"/>
    <col min="10465" max="10465" width="5.85546875" bestFit="1" customWidth="1"/>
    <col min="10466" max="10466" width="7.42578125" bestFit="1" customWidth="1"/>
    <col min="10467" max="10467" width="8.140625" bestFit="1" customWidth="1"/>
    <col min="10468" max="10468" width="4.5703125" bestFit="1" customWidth="1"/>
    <col min="10469" max="10469" width="57.5703125" customWidth="1"/>
    <col min="10470" max="10470" width="14.28515625" customWidth="1"/>
    <col min="10471" max="10471" width="0.85546875" customWidth="1"/>
    <col min="10472" max="10472" width="16.5703125" bestFit="1" customWidth="1"/>
    <col min="10473" max="10473" width="13.42578125" bestFit="1" customWidth="1"/>
    <col min="10720" max="10720" width="4.85546875" bestFit="1" customWidth="1"/>
    <col min="10721" max="10721" width="5.85546875" bestFit="1" customWidth="1"/>
    <col min="10722" max="10722" width="7.42578125" bestFit="1" customWidth="1"/>
    <col min="10723" max="10723" width="8.140625" bestFit="1" customWidth="1"/>
    <col min="10724" max="10724" width="4.5703125" bestFit="1" customWidth="1"/>
    <col min="10725" max="10725" width="57.5703125" customWidth="1"/>
    <col min="10726" max="10726" width="14.28515625" customWidth="1"/>
    <col min="10727" max="10727" width="0.85546875" customWidth="1"/>
    <col min="10728" max="10728" width="16.5703125" bestFit="1" customWidth="1"/>
    <col min="10729" max="10729" width="13.42578125" bestFit="1" customWidth="1"/>
    <col min="10976" max="10976" width="4.85546875" bestFit="1" customWidth="1"/>
    <col min="10977" max="10977" width="5.85546875" bestFit="1" customWidth="1"/>
    <col min="10978" max="10978" width="7.42578125" bestFit="1" customWidth="1"/>
    <col min="10979" max="10979" width="8.140625" bestFit="1" customWidth="1"/>
    <col min="10980" max="10980" width="4.5703125" bestFit="1" customWidth="1"/>
    <col min="10981" max="10981" width="57.5703125" customWidth="1"/>
    <col min="10982" max="10982" width="14.28515625" customWidth="1"/>
    <col min="10983" max="10983" width="0.85546875" customWidth="1"/>
    <col min="10984" max="10984" width="16.5703125" bestFit="1" customWidth="1"/>
    <col min="10985" max="10985" width="13.42578125" bestFit="1" customWidth="1"/>
    <col min="11232" max="11232" width="4.85546875" bestFit="1" customWidth="1"/>
    <col min="11233" max="11233" width="5.85546875" bestFit="1" customWidth="1"/>
    <col min="11234" max="11234" width="7.42578125" bestFit="1" customWidth="1"/>
    <col min="11235" max="11235" width="8.140625" bestFit="1" customWidth="1"/>
    <col min="11236" max="11236" width="4.5703125" bestFit="1" customWidth="1"/>
    <col min="11237" max="11237" width="57.5703125" customWidth="1"/>
    <col min="11238" max="11238" width="14.28515625" customWidth="1"/>
    <col min="11239" max="11239" width="0.85546875" customWidth="1"/>
    <col min="11240" max="11240" width="16.5703125" bestFit="1" customWidth="1"/>
    <col min="11241" max="11241" width="13.42578125" bestFit="1" customWidth="1"/>
    <col min="11488" max="11488" width="4.85546875" bestFit="1" customWidth="1"/>
    <col min="11489" max="11489" width="5.85546875" bestFit="1" customWidth="1"/>
    <col min="11490" max="11490" width="7.42578125" bestFit="1" customWidth="1"/>
    <col min="11491" max="11491" width="8.140625" bestFit="1" customWidth="1"/>
    <col min="11492" max="11492" width="4.5703125" bestFit="1" customWidth="1"/>
    <col min="11493" max="11493" width="57.5703125" customWidth="1"/>
    <col min="11494" max="11494" width="14.28515625" customWidth="1"/>
    <col min="11495" max="11495" width="0.85546875" customWidth="1"/>
    <col min="11496" max="11496" width="16.5703125" bestFit="1" customWidth="1"/>
    <col min="11497" max="11497" width="13.42578125" bestFit="1" customWidth="1"/>
    <col min="11744" max="11744" width="4.85546875" bestFit="1" customWidth="1"/>
    <col min="11745" max="11745" width="5.85546875" bestFit="1" customWidth="1"/>
    <col min="11746" max="11746" width="7.42578125" bestFit="1" customWidth="1"/>
    <col min="11747" max="11747" width="8.140625" bestFit="1" customWidth="1"/>
    <col min="11748" max="11748" width="4.5703125" bestFit="1" customWidth="1"/>
    <col min="11749" max="11749" width="57.5703125" customWidth="1"/>
    <col min="11750" max="11750" width="14.28515625" customWidth="1"/>
    <col min="11751" max="11751" width="0.85546875" customWidth="1"/>
    <col min="11752" max="11752" width="16.5703125" bestFit="1" customWidth="1"/>
    <col min="11753" max="11753" width="13.42578125" bestFit="1" customWidth="1"/>
    <col min="12000" max="12000" width="4.85546875" bestFit="1" customWidth="1"/>
    <col min="12001" max="12001" width="5.85546875" bestFit="1" customWidth="1"/>
    <col min="12002" max="12002" width="7.42578125" bestFit="1" customWidth="1"/>
    <col min="12003" max="12003" width="8.140625" bestFit="1" customWidth="1"/>
    <col min="12004" max="12004" width="4.5703125" bestFit="1" customWidth="1"/>
    <col min="12005" max="12005" width="57.5703125" customWidth="1"/>
    <col min="12006" max="12006" width="14.28515625" customWidth="1"/>
    <col min="12007" max="12007" width="0.85546875" customWidth="1"/>
    <col min="12008" max="12008" width="16.5703125" bestFit="1" customWidth="1"/>
    <col min="12009" max="12009" width="13.42578125" bestFit="1" customWidth="1"/>
    <col min="12256" max="12256" width="4.85546875" bestFit="1" customWidth="1"/>
    <col min="12257" max="12257" width="5.85546875" bestFit="1" customWidth="1"/>
    <col min="12258" max="12258" width="7.42578125" bestFit="1" customWidth="1"/>
    <col min="12259" max="12259" width="8.140625" bestFit="1" customWidth="1"/>
    <col min="12260" max="12260" width="4.5703125" bestFit="1" customWidth="1"/>
    <col min="12261" max="12261" width="57.5703125" customWidth="1"/>
    <col min="12262" max="12262" width="14.28515625" customWidth="1"/>
    <col min="12263" max="12263" width="0.85546875" customWidth="1"/>
    <col min="12264" max="12264" width="16.5703125" bestFit="1" customWidth="1"/>
    <col min="12265" max="12265" width="13.42578125" bestFit="1" customWidth="1"/>
    <col min="12512" max="12512" width="4.85546875" bestFit="1" customWidth="1"/>
    <col min="12513" max="12513" width="5.85546875" bestFit="1" customWidth="1"/>
    <col min="12514" max="12514" width="7.42578125" bestFit="1" customWidth="1"/>
    <col min="12515" max="12515" width="8.140625" bestFit="1" customWidth="1"/>
    <col min="12516" max="12516" width="4.5703125" bestFit="1" customWidth="1"/>
    <col min="12517" max="12517" width="57.5703125" customWidth="1"/>
    <col min="12518" max="12518" width="14.28515625" customWidth="1"/>
    <col min="12519" max="12519" width="0.85546875" customWidth="1"/>
    <col min="12520" max="12520" width="16.5703125" bestFit="1" customWidth="1"/>
    <col min="12521" max="12521" width="13.42578125" bestFit="1" customWidth="1"/>
    <col min="12768" max="12768" width="4.85546875" bestFit="1" customWidth="1"/>
    <col min="12769" max="12769" width="5.85546875" bestFit="1" customWidth="1"/>
    <col min="12770" max="12770" width="7.42578125" bestFit="1" customWidth="1"/>
    <col min="12771" max="12771" width="8.140625" bestFit="1" customWidth="1"/>
    <col min="12772" max="12772" width="4.5703125" bestFit="1" customWidth="1"/>
    <col min="12773" max="12773" width="57.5703125" customWidth="1"/>
    <col min="12774" max="12774" width="14.28515625" customWidth="1"/>
    <col min="12775" max="12775" width="0.85546875" customWidth="1"/>
    <col min="12776" max="12776" width="16.5703125" bestFit="1" customWidth="1"/>
    <col min="12777" max="12777" width="13.42578125" bestFit="1" customWidth="1"/>
    <col min="13024" max="13024" width="4.85546875" bestFit="1" customWidth="1"/>
    <col min="13025" max="13025" width="5.85546875" bestFit="1" customWidth="1"/>
    <col min="13026" max="13026" width="7.42578125" bestFit="1" customWidth="1"/>
    <col min="13027" max="13027" width="8.140625" bestFit="1" customWidth="1"/>
    <col min="13028" max="13028" width="4.5703125" bestFit="1" customWidth="1"/>
    <col min="13029" max="13029" width="57.5703125" customWidth="1"/>
    <col min="13030" max="13030" width="14.28515625" customWidth="1"/>
    <col min="13031" max="13031" width="0.85546875" customWidth="1"/>
    <col min="13032" max="13032" width="16.5703125" bestFit="1" customWidth="1"/>
    <col min="13033" max="13033" width="13.42578125" bestFit="1" customWidth="1"/>
    <col min="13280" max="13280" width="4.85546875" bestFit="1" customWidth="1"/>
    <col min="13281" max="13281" width="5.85546875" bestFit="1" customWidth="1"/>
    <col min="13282" max="13282" width="7.42578125" bestFit="1" customWidth="1"/>
    <col min="13283" max="13283" width="8.140625" bestFit="1" customWidth="1"/>
    <col min="13284" max="13284" width="4.5703125" bestFit="1" customWidth="1"/>
    <col min="13285" max="13285" width="57.5703125" customWidth="1"/>
    <col min="13286" max="13286" width="14.28515625" customWidth="1"/>
    <col min="13287" max="13287" width="0.85546875" customWidth="1"/>
    <col min="13288" max="13288" width="16.5703125" bestFit="1" customWidth="1"/>
    <col min="13289" max="13289" width="13.42578125" bestFit="1" customWidth="1"/>
    <col min="13536" max="13536" width="4.85546875" bestFit="1" customWidth="1"/>
    <col min="13537" max="13537" width="5.85546875" bestFit="1" customWidth="1"/>
    <col min="13538" max="13538" width="7.42578125" bestFit="1" customWidth="1"/>
    <col min="13539" max="13539" width="8.140625" bestFit="1" customWidth="1"/>
    <col min="13540" max="13540" width="4.5703125" bestFit="1" customWidth="1"/>
    <col min="13541" max="13541" width="57.5703125" customWidth="1"/>
    <col min="13542" max="13542" width="14.28515625" customWidth="1"/>
    <col min="13543" max="13543" width="0.85546875" customWidth="1"/>
    <col min="13544" max="13544" width="16.5703125" bestFit="1" customWidth="1"/>
    <col min="13545" max="13545" width="13.42578125" bestFit="1" customWidth="1"/>
    <col min="13792" max="13792" width="4.85546875" bestFit="1" customWidth="1"/>
    <col min="13793" max="13793" width="5.85546875" bestFit="1" customWidth="1"/>
    <col min="13794" max="13794" width="7.42578125" bestFit="1" customWidth="1"/>
    <col min="13795" max="13795" width="8.140625" bestFit="1" customWidth="1"/>
    <col min="13796" max="13796" width="4.5703125" bestFit="1" customWidth="1"/>
    <col min="13797" max="13797" width="57.5703125" customWidth="1"/>
    <col min="13798" max="13798" width="14.28515625" customWidth="1"/>
    <col min="13799" max="13799" width="0.85546875" customWidth="1"/>
    <col min="13800" max="13800" width="16.5703125" bestFit="1" customWidth="1"/>
    <col min="13801" max="13801" width="13.42578125" bestFit="1" customWidth="1"/>
    <col min="14048" max="14048" width="4.85546875" bestFit="1" customWidth="1"/>
    <col min="14049" max="14049" width="5.85546875" bestFit="1" customWidth="1"/>
    <col min="14050" max="14050" width="7.42578125" bestFit="1" customWidth="1"/>
    <col min="14051" max="14051" width="8.140625" bestFit="1" customWidth="1"/>
    <col min="14052" max="14052" width="4.5703125" bestFit="1" customWidth="1"/>
    <col min="14053" max="14053" width="57.5703125" customWidth="1"/>
    <col min="14054" max="14054" width="14.28515625" customWidth="1"/>
    <col min="14055" max="14055" width="0.85546875" customWidth="1"/>
    <col min="14056" max="14056" width="16.5703125" bestFit="1" customWidth="1"/>
    <col min="14057" max="14057" width="13.42578125" bestFit="1" customWidth="1"/>
    <col min="14304" max="14304" width="4.85546875" bestFit="1" customWidth="1"/>
    <col min="14305" max="14305" width="5.85546875" bestFit="1" customWidth="1"/>
    <col min="14306" max="14306" width="7.42578125" bestFit="1" customWidth="1"/>
    <col min="14307" max="14307" width="8.140625" bestFit="1" customWidth="1"/>
    <col min="14308" max="14308" width="4.5703125" bestFit="1" customWidth="1"/>
    <col min="14309" max="14309" width="57.5703125" customWidth="1"/>
    <col min="14310" max="14310" width="14.28515625" customWidth="1"/>
    <col min="14311" max="14311" width="0.85546875" customWidth="1"/>
    <col min="14312" max="14312" width="16.5703125" bestFit="1" customWidth="1"/>
    <col min="14313" max="14313" width="13.42578125" bestFit="1" customWidth="1"/>
    <col min="14560" max="14560" width="4.85546875" bestFit="1" customWidth="1"/>
    <col min="14561" max="14561" width="5.85546875" bestFit="1" customWidth="1"/>
    <col min="14562" max="14562" width="7.42578125" bestFit="1" customWidth="1"/>
    <col min="14563" max="14563" width="8.140625" bestFit="1" customWidth="1"/>
    <col min="14564" max="14564" width="4.5703125" bestFit="1" customWidth="1"/>
    <col min="14565" max="14565" width="57.5703125" customWidth="1"/>
    <col min="14566" max="14566" width="14.28515625" customWidth="1"/>
    <col min="14567" max="14567" width="0.85546875" customWidth="1"/>
    <col min="14568" max="14568" width="16.5703125" bestFit="1" customWidth="1"/>
    <col min="14569" max="14569" width="13.42578125" bestFit="1" customWidth="1"/>
    <col min="14816" max="14816" width="4.85546875" bestFit="1" customWidth="1"/>
    <col min="14817" max="14817" width="5.85546875" bestFit="1" customWidth="1"/>
    <col min="14818" max="14818" width="7.42578125" bestFit="1" customWidth="1"/>
    <col min="14819" max="14819" width="8.140625" bestFit="1" customWidth="1"/>
    <col min="14820" max="14820" width="4.5703125" bestFit="1" customWidth="1"/>
    <col min="14821" max="14821" width="57.5703125" customWidth="1"/>
    <col min="14822" max="14822" width="14.28515625" customWidth="1"/>
    <col min="14823" max="14823" width="0.85546875" customWidth="1"/>
    <col min="14824" max="14824" width="16.5703125" bestFit="1" customWidth="1"/>
    <col min="14825" max="14825" width="13.42578125" bestFit="1" customWidth="1"/>
    <col min="15072" max="15072" width="4.85546875" bestFit="1" customWidth="1"/>
    <col min="15073" max="15073" width="5.85546875" bestFit="1" customWidth="1"/>
    <col min="15074" max="15074" width="7.42578125" bestFit="1" customWidth="1"/>
    <col min="15075" max="15075" width="8.140625" bestFit="1" customWidth="1"/>
    <col min="15076" max="15076" width="4.5703125" bestFit="1" customWidth="1"/>
    <col min="15077" max="15077" width="57.5703125" customWidth="1"/>
    <col min="15078" max="15078" width="14.28515625" customWidth="1"/>
    <col min="15079" max="15079" width="0.85546875" customWidth="1"/>
    <col min="15080" max="15080" width="16.5703125" bestFit="1" customWidth="1"/>
    <col min="15081" max="15081" width="13.42578125" bestFit="1" customWidth="1"/>
    <col min="15328" max="15328" width="4.85546875" bestFit="1" customWidth="1"/>
    <col min="15329" max="15329" width="5.85546875" bestFit="1" customWidth="1"/>
    <col min="15330" max="15330" width="7.42578125" bestFit="1" customWidth="1"/>
    <col min="15331" max="15331" width="8.140625" bestFit="1" customWidth="1"/>
    <col min="15332" max="15332" width="4.5703125" bestFit="1" customWidth="1"/>
    <col min="15333" max="15333" width="57.5703125" customWidth="1"/>
    <col min="15334" max="15334" width="14.28515625" customWidth="1"/>
    <col min="15335" max="15335" width="0.85546875" customWidth="1"/>
    <col min="15336" max="15336" width="16.5703125" bestFit="1" customWidth="1"/>
    <col min="15337" max="15337" width="13.42578125" bestFit="1" customWidth="1"/>
    <col min="15584" max="15584" width="4.85546875" bestFit="1" customWidth="1"/>
    <col min="15585" max="15585" width="5.85546875" bestFit="1" customWidth="1"/>
    <col min="15586" max="15586" width="7.42578125" bestFit="1" customWidth="1"/>
    <col min="15587" max="15587" width="8.140625" bestFit="1" customWidth="1"/>
    <col min="15588" max="15588" width="4.5703125" bestFit="1" customWidth="1"/>
    <col min="15589" max="15589" width="57.5703125" customWidth="1"/>
    <col min="15590" max="15590" width="14.28515625" customWidth="1"/>
    <col min="15591" max="15591" width="0.85546875" customWidth="1"/>
    <col min="15592" max="15592" width="16.5703125" bestFit="1" customWidth="1"/>
    <col min="15593" max="15593" width="13.42578125" bestFit="1" customWidth="1"/>
    <col min="15840" max="15840" width="4.85546875" bestFit="1" customWidth="1"/>
    <col min="15841" max="15841" width="5.85546875" bestFit="1" customWidth="1"/>
    <col min="15842" max="15842" width="7.42578125" bestFit="1" customWidth="1"/>
    <col min="15843" max="15843" width="8.140625" bestFit="1" customWidth="1"/>
    <col min="15844" max="15844" width="4.5703125" bestFit="1" customWidth="1"/>
    <col min="15845" max="15845" width="57.5703125" customWidth="1"/>
    <col min="15846" max="15846" width="14.28515625" customWidth="1"/>
    <col min="15847" max="15847" width="0.85546875" customWidth="1"/>
    <col min="15848" max="15848" width="16.5703125" bestFit="1" customWidth="1"/>
    <col min="15849" max="15849" width="13.42578125" bestFit="1" customWidth="1"/>
    <col min="16096" max="16096" width="4.85546875" bestFit="1" customWidth="1"/>
    <col min="16097" max="16097" width="5.85546875" bestFit="1" customWidth="1"/>
    <col min="16098" max="16098" width="7.42578125" bestFit="1" customWidth="1"/>
    <col min="16099" max="16099" width="8.140625" bestFit="1" customWidth="1"/>
    <col min="16100" max="16100" width="4.5703125" bestFit="1" customWidth="1"/>
    <col min="16101" max="16101" width="57.5703125" customWidth="1"/>
    <col min="16102" max="16102" width="14.28515625" customWidth="1"/>
    <col min="16103" max="16103" width="0.85546875" customWidth="1"/>
    <col min="16104" max="16104" width="16.5703125" bestFit="1" customWidth="1"/>
    <col min="16105" max="16105" width="13.42578125" bestFit="1" customWidth="1"/>
  </cols>
  <sheetData>
    <row r="1" spans="1:18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18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18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18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18" s="174" customFormat="1" ht="20.25" x14ac:dyDescent="0.3">
      <c r="A5" s="269" t="str">
        <f>'[1]Estado de flujo de Efectivo'!A1:B1</f>
        <v>Consejo Económico y Social -CES-</v>
      </c>
      <c r="B5" s="269"/>
      <c r="C5" s="269"/>
      <c r="D5" s="269"/>
      <c r="E5" s="269"/>
      <c r="F5" s="269"/>
      <c r="G5" s="269"/>
      <c r="H5" s="269"/>
      <c r="I5" s="33"/>
    </row>
    <row r="6" spans="1:18" s="174" customFormat="1" ht="20.25" x14ac:dyDescent="0.3">
      <c r="A6" s="269" t="s">
        <v>150</v>
      </c>
      <c r="B6" s="269"/>
      <c r="C6" s="269"/>
      <c r="D6" s="269"/>
      <c r="E6" s="269"/>
      <c r="F6" s="269"/>
      <c r="G6" s="269"/>
      <c r="H6" s="269"/>
      <c r="I6" s="33"/>
    </row>
    <row r="7" spans="1:18" s="174" customFormat="1" ht="20.25" x14ac:dyDescent="0.3">
      <c r="A7" s="269" t="s">
        <v>0</v>
      </c>
      <c r="B7" s="269"/>
      <c r="C7" s="269"/>
      <c r="D7" s="269"/>
      <c r="E7" s="269"/>
      <c r="F7" s="269"/>
      <c r="G7" s="269"/>
      <c r="H7" s="269"/>
      <c r="I7" s="33"/>
    </row>
    <row r="8" spans="1:18" s="174" customFormat="1" ht="16.5" thickBot="1" x14ac:dyDescent="0.3">
      <c r="A8" s="141"/>
      <c r="B8" s="141"/>
      <c r="C8" s="141"/>
      <c r="D8" s="141"/>
      <c r="E8" s="141"/>
      <c r="F8" s="69"/>
      <c r="G8" s="69"/>
      <c r="H8" s="70"/>
      <c r="I8" s="33"/>
    </row>
    <row r="9" spans="1:18" ht="48" thickBot="1" x14ac:dyDescent="0.3">
      <c r="A9" s="71"/>
      <c r="B9" s="71"/>
      <c r="C9" s="72"/>
      <c r="D9" s="72"/>
      <c r="E9" s="73"/>
      <c r="F9" s="77"/>
      <c r="G9" s="78" t="s">
        <v>126</v>
      </c>
      <c r="H9" s="79" t="s">
        <v>127</v>
      </c>
      <c r="I9" s="2" t="s">
        <v>3</v>
      </c>
      <c r="J9" s="79" t="s">
        <v>130</v>
      </c>
      <c r="K9" s="79" t="s">
        <v>132</v>
      </c>
      <c r="L9" s="79" t="s">
        <v>135</v>
      </c>
      <c r="M9" s="79" t="s">
        <v>137</v>
      </c>
      <c r="N9" s="79" t="s">
        <v>139</v>
      </c>
      <c r="O9" s="79" t="s">
        <v>141</v>
      </c>
      <c r="P9" s="79" t="s">
        <v>143</v>
      </c>
      <c r="Q9" s="175" t="s">
        <v>128</v>
      </c>
      <c r="R9" s="198" t="s">
        <v>3</v>
      </c>
    </row>
    <row r="10" spans="1:18" ht="32.25" thickBot="1" x14ac:dyDescent="0.3">
      <c r="A10" s="80" t="s">
        <v>4</v>
      </c>
      <c r="B10" s="78" t="s">
        <v>5</v>
      </c>
      <c r="C10" s="81" t="s">
        <v>6</v>
      </c>
      <c r="D10" s="78" t="s">
        <v>7</v>
      </c>
      <c r="E10" s="78" t="s">
        <v>8</v>
      </c>
      <c r="F10" s="71" t="s">
        <v>9</v>
      </c>
      <c r="G10" s="82" t="s">
        <v>10</v>
      </c>
      <c r="H10" s="83" t="s">
        <v>10</v>
      </c>
      <c r="I10" s="3" t="s">
        <v>10</v>
      </c>
      <c r="J10" s="83" t="s">
        <v>10</v>
      </c>
      <c r="K10" s="83" t="s">
        <v>10</v>
      </c>
      <c r="L10" s="83" t="s">
        <v>10</v>
      </c>
      <c r="M10" s="83" t="s">
        <v>10</v>
      </c>
      <c r="N10" s="83" t="s">
        <v>10</v>
      </c>
      <c r="O10" s="83" t="s">
        <v>10</v>
      </c>
      <c r="P10" s="83" t="s">
        <v>10</v>
      </c>
      <c r="Q10" s="83" t="s">
        <v>10</v>
      </c>
      <c r="R10" s="199" t="s">
        <v>10</v>
      </c>
    </row>
    <row r="11" spans="1:18" ht="15.75" x14ac:dyDescent="0.25">
      <c r="A11" s="84"/>
      <c r="B11" s="85"/>
      <c r="C11" s="86"/>
      <c r="D11" s="87"/>
      <c r="E11" s="88"/>
      <c r="F11" s="89"/>
      <c r="G11" s="90"/>
      <c r="H11" s="91"/>
      <c r="I11" s="4"/>
      <c r="J11" s="91"/>
      <c r="K11" s="91"/>
      <c r="L11" s="91"/>
      <c r="M11" s="91"/>
      <c r="N11" s="91"/>
      <c r="O11" s="91"/>
      <c r="P11" s="91"/>
      <c r="Q11" s="91"/>
      <c r="R11" s="200"/>
    </row>
    <row r="12" spans="1:18" ht="16.5" thickBot="1" x14ac:dyDescent="0.3">
      <c r="A12" s="85">
        <v>2</v>
      </c>
      <c r="B12" s="85">
        <v>1</v>
      </c>
      <c r="C12" s="92"/>
      <c r="D12" s="85"/>
      <c r="E12" s="93"/>
      <c r="F12" s="94" t="s">
        <v>11</v>
      </c>
      <c r="G12" s="95">
        <f>G13+G31+G42+G47-1</f>
        <v>26426720</v>
      </c>
      <c r="H12" s="165">
        <f t="shared" ref="H12:P12" si="0">H13+H31+H42+H47</f>
        <v>1661145.73</v>
      </c>
      <c r="I12" s="5" t="e">
        <f t="shared" si="0"/>
        <v>#REF!</v>
      </c>
      <c r="J12" s="165">
        <f t="shared" si="0"/>
        <v>1673803.74</v>
      </c>
      <c r="K12" s="165">
        <f t="shared" si="0"/>
        <v>1673803.74</v>
      </c>
      <c r="L12" s="165">
        <f t="shared" si="0"/>
        <v>1667742.0209999999</v>
      </c>
      <c r="M12" s="165">
        <f t="shared" si="0"/>
        <v>1673803.74</v>
      </c>
      <c r="N12" s="165">
        <f t="shared" si="0"/>
        <v>1716335.74</v>
      </c>
      <c r="O12" s="165">
        <f t="shared" si="0"/>
        <v>1673803.74</v>
      </c>
      <c r="P12" s="165">
        <f t="shared" si="0"/>
        <v>2738867.99</v>
      </c>
      <c r="Q12" s="165">
        <f>Q13+Q31+Q42+Q47</f>
        <v>14479306.441</v>
      </c>
      <c r="R12" s="201">
        <f>R13+R31+R42+R47</f>
        <v>11947414.559</v>
      </c>
    </row>
    <row r="13" spans="1:18" ht="16.5" thickBot="1" x14ac:dyDescent="0.3">
      <c r="A13" s="85">
        <v>2</v>
      </c>
      <c r="B13" s="85">
        <v>1</v>
      </c>
      <c r="C13" s="92">
        <v>1</v>
      </c>
      <c r="D13" s="85"/>
      <c r="E13" s="93"/>
      <c r="F13" s="94" t="s">
        <v>12</v>
      </c>
      <c r="G13" s="96">
        <f>G14+G17+G22+G25</f>
        <v>21231968</v>
      </c>
      <c r="H13" s="96">
        <f>H14+H17+H22+H25</f>
        <v>1454830</v>
      </c>
      <c r="I13" s="6" t="e">
        <f t="shared" ref="I13:R13" si="1">I14+I17+I22+I25</f>
        <v>#REF!</v>
      </c>
      <c r="J13" s="96">
        <f t="shared" si="1"/>
        <v>1464830</v>
      </c>
      <c r="K13" s="96">
        <f t="shared" si="1"/>
        <v>1464830</v>
      </c>
      <c r="L13" s="96">
        <f t="shared" si="1"/>
        <v>1464830</v>
      </c>
      <c r="M13" s="96">
        <f t="shared" si="1"/>
        <v>1464830</v>
      </c>
      <c r="N13" s="96">
        <f t="shared" si="1"/>
        <v>1507362</v>
      </c>
      <c r="O13" s="96">
        <f t="shared" si="1"/>
        <v>1464830</v>
      </c>
      <c r="P13" s="96">
        <f t="shared" si="1"/>
        <v>1464830</v>
      </c>
      <c r="Q13" s="96">
        <f t="shared" si="1"/>
        <v>11751172</v>
      </c>
      <c r="R13" s="202">
        <f t="shared" si="1"/>
        <v>9480796</v>
      </c>
    </row>
    <row r="14" spans="1:18" ht="16.5" thickBot="1" x14ac:dyDescent="0.3">
      <c r="A14" s="85">
        <v>2</v>
      </c>
      <c r="B14" s="85">
        <v>1</v>
      </c>
      <c r="C14" s="92">
        <v>1</v>
      </c>
      <c r="D14" s="85">
        <v>1</v>
      </c>
      <c r="E14" s="93"/>
      <c r="F14" s="94" t="s">
        <v>13</v>
      </c>
      <c r="G14" s="97">
        <f>G15</f>
        <v>6300000</v>
      </c>
      <c r="H14" s="98">
        <f>H15</f>
        <v>525000</v>
      </c>
      <c r="I14" s="7" t="e">
        <f t="shared" ref="I14:Q14" si="2">I15</f>
        <v>#REF!</v>
      </c>
      <c r="J14" s="98">
        <f t="shared" si="2"/>
        <v>525000</v>
      </c>
      <c r="K14" s="98">
        <f t="shared" si="2"/>
        <v>525000</v>
      </c>
      <c r="L14" s="98">
        <f t="shared" si="2"/>
        <v>525000</v>
      </c>
      <c r="M14" s="98">
        <f t="shared" si="2"/>
        <v>525000</v>
      </c>
      <c r="N14" s="98">
        <f t="shared" si="2"/>
        <v>525000</v>
      </c>
      <c r="O14" s="98">
        <f t="shared" si="2"/>
        <v>525000</v>
      </c>
      <c r="P14" s="98">
        <f t="shared" si="2"/>
        <v>525000</v>
      </c>
      <c r="Q14" s="98">
        <f t="shared" si="2"/>
        <v>4200000</v>
      </c>
      <c r="R14" s="203">
        <f>R15</f>
        <v>2100000</v>
      </c>
    </row>
    <row r="15" spans="1:18" ht="15.75" x14ac:dyDescent="0.25">
      <c r="A15" s="85">
        <v>2</v>
      </c>
      <c r="B15" s="85">
        <v>1</v>
      </c>
      <c r="C15" s="92">
        <v>1</v>
      </c>
      <c r="D15" s="85">
        <v>1</v>
      </c>
      <c r="E15" s="85">
        <v>1</v>
      </c>
      <c r="F15" s="99" t="s">
        <v>14</v>
      </c>
      <c r="G15" s="100">
        <v>6300000</v>
      </c>
      <c r="H15" s="101">
        <f>225000+300000</f>
        <v>525000</v>
      </c>
      <c r="I15" s="8" t="e">
        <f>+G15-#REF!</f>
        <v>#REF!</v>
      </c>
      <c r="J15" s="101">
        <f t="shared" ref="J15:P15" si="3">225000+300000</f>
        <v>525000</v>
      </c>
      <c r="K15" s="101">
        <f t="shared" si="3"/>
        <v>525000</v>
      </c>
      <c r="L15" s="101">
        <f t="shared" si="3"/>
        <v>525000</v>
      </c>
      <c r="M15" s="101">
        <f t="shared" si="3"/>
        <v>525000</v>
      </c>
      <c r="N15" s="101">
        <f t="shared" si="3"/>
        <v>525000</v>
      </c>
      <c r="O15" s="101">
        <f t="shared" si="3"/>
        <v>525000</v>
      </c>
      <c r="P15" s="101">
        <f t="shared" si="3"/>
        <v>525000</v>
      </c>
      <c r="Q15" s="101">
        <f>+H15+J15+K15+L15+M15+N15+O15+P15</f>
        <v>4200000</v>
      </c>
      <c r="R15" s="204">
        <f>+G15-Q15</f>
        <v>2100000</v>
      </c>
    </row>
    <row r="16" spans="1:18" ht="15.75" x14ac:dyDescent="0.25">
      <c r="A16" s="85"/>
      <c r="B16" s="85"/>
      <c r="C16" s="92"/>
      <c r="D16" s="85"/>
      <c r="E16" s="84"/>
      <c r="F16" s="99"/>
      <c r="G16" s="102"/>
      <c r="H16" s="103"/>
      <c r="I16" s="9"/>
      <c r="J16" s="103"/>
      <c r="K16" s="103"/>
      <c r="L16" s="103"/>
      <c r="M16" s="103"/>
      <c r="N16" s="103"/>
      <c r="O16" s="103"/>
      <c r="P16" s="103"/>
      <c r="Q16" s="103"/>
      <c r="R16" s="205"/>
    </row>
    <row r="17" spans="1:18" ht="32.25" thickBot="1" x14ac:dyDescent="0.3">
      <c r="A17" s="85">
        <v>2</v>
      </c>
      <c r="B17" s="85">
        <v>1</v>
      </c>
      <c r="C17" s="92">
        <v>1</v>
      </c>
      <c r="D17" s="85">
        <v>2</v>
      </c>
      <c r="E17" s="93"/>
      <c r="F17" s="104" t="s">
        <v>15</v>
      </c>
      <c r="G17" s="95">
        <f>G18</f>
        <v>13298740</v>
      </c>
      <c r="H17" s="105">
        <f>SUM(H18:H20)</f>
        <v>929830</v>
      </c>
      <c r="I17" s="10" t="e">
        <f>SUM(I18:I20)</f>
        <v>#REF!</v>
      </c>
      <c r="J17" s="105">
        <f>SUM(J18:J20)</f>
        <v>939830</v>
      </c>
      <c r="K17" s="105">
        <f>SUM(K18:K20)</f>
        <v>939830</v>
      </c>
      <c r="L17" s="105">
        <f t="shared" ref="L17:R17" si="4">SUM(L18:L20)</f>
        <v>939830</v>
      </c>
      <c r="M17" s="105">
        <f t="shared" si="4"/>
        <v>939830</v>
      </c>
      <c r="N17" s="105">
        <f t="shared" si="4"/>
        <v>939830</v>
      </c>
      <c r="O17" s="105">
        <f t="shared" si="4"/>
        <v>939830</v>
      </c>
      <c r="P17" s="105">
        <f>SUM(P18:P20)</f>
        <v>939830</v>
      </c>
      <c r="Q17" s="105">
        <f t="shared" si="4"/>
        <v>7508640</v>
      </c>
      <c r="R17" s="206">
        <f t="shared" si="4"/>
        <v>5790100</v>
      </c>
    </row>
    <row r="18" spans="1:18" ht="31.5" x14ac:dyDescent="0.25">
      <c r="A18" s="85">
        <v>2</v>
      </c>
      <c r="B18" s="85">
        <v>1</v>
      </c>
      <c r="C18" s="92">
        <v>1</v>
      </c>
      <c r="D18" s="85">
        <v>2</v>
      </c>
      <c r="E18" s="85">
        <v>1</v>
      </c>
      <c r="F18" s="106" t="s">
        <v>16</v>
      </c>
      <c r="G18" s="107">
        <v>13298740</v>
      </c>
      <c r="H18" s="103">
        <f>51400+75378+60885+73500+48920+80500+93500+73500+122117+110065+85065</f>
        <v>874830</v>
      </c>
      <c r="I18" s="9" t="e">
        <f>+G18-#REF!</f>
        <v>#REF!</v>
      </c>
      <c r="J18" s="103">
        <f t="shared" ref="J18:P18" si="5">51400+75378+60885+73500+48920+80500+93500+73500+122117+110065+85065+65000</f>
        <v>939830</v>
      </c>
      <c r="K18" s="103">
        <f t="shared" si="5"/>
        <v>939830</v>
      </c>
      <c r="L18" s="103">
        <f t="shared" si="5"/>
        <v>939830</v>
      </c>
      <c r="M18" s="103">
        <f t="shared" si="5"/>
        <v>939830</v>
      </c>
      <c r="N18" s="103">
        <f t="shared" si="5"/>
        <v>939830</v>
      </c>
      <c r="O18" s="103">
        <f t="shared" si="5"/>
        <v>939830</v>
      </c>
      <c r="P18" s="103">
        <f t="shared" si="5"/>
        <v>939830</v>
      </c>
      <c r="Q18" s="103">
        <f>+H18+J18+K18+L18+M18+N18+O18+P18</f>
        <v>7453640</v>
      </c>
      <c r="R18" s="205">
        <f>+G18-Q18</f>
        <v>5845100</v>
      </c>
    </row>
    <row r="19" spans="1:18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2</v>
      </c>
      <c r="F19" s="106" t="s">
        <v>17</v>
      </c>
      <c r="G19" s="102"/>
      <c r="H19" s="103"/>
      <c r="I19" s="9"/>
      <c r="J19" s="103"/>
      <c r="K19" s="103"/>
      <c r="L19" s="103"/>
      <c r="M19" s="103"/>
      <c r="N19" s="103"/>
      <c r="O19" s="103"/>
      <c r="P19" s="103"/>
      <c r="Q19" s="103">
        <f>+H19+J19+K19+L19+M19+N19+O19</f>
        <v>0</v>
      </c>
      <c r="R19" s="205"/>
    </row>
    <row r="20" spans="1:18" ht="31.5" x14ac:dyDescent="0.25">
      <c r="A20" s="85">
        <v>2</v>
      </c>
      <c r="B20" s="85">
        <v>1</v>
      </c>
      <c r="C20" s="92">
        <v>1</v>
      </c>
      <c r="D20" s="85">
        <v>2</v>
      </c>
      <c r="E20" s="85">
        <v>5</v>
      </c>
      <c r="F20" s="106" t="s">
        <v>18</v>
      </c>
      <c r="G20" s="108"/>
      <c r="H20" s="110">
        <v>55000</v>
      </c>
      <c r="I20" s="12" t="e">
        <f>+G20-#REF!</f>
        <v>#REF!</v>
      </c>
      <c r="J20" s="110"/>
      <c r="K20" s="110"/>
      <c r="L20" s="110"/>
      <c r="M20" s="110"/>
      <c r="N20" s="110"/>
      <c r="O20" s="110"/>
      <c r="P20" s="110"/>
      <c r="Q20" s="103">
        <f>+H20+J20+K20+L20+M20+N20+O20+P20</f>
        <v>55000</v>
      </c>
      <c r="R20" s="207">
        <f>G20-Q20</f>
        <v>-55000</v>
      </c>
    </row>
    <row r="21" spans="1:18" ht="15.75" x14ac:dyDescent="0.25">
      <c r="A21" s="85"/>
      <c r="B21" s="85"/>
      <c r="C21" s="92"/>
      <c r="D21" s="85"/>
      <c r="E21" s="85"/>
      <c r="F21" s="106"/>
      <c r="G21" s="108"/>
      <c r="H21" s="110" t="s">
        <v>19</v>
      </c>
      <c r="I21" s="12"/>
      <c r="J21" s="110" t="s">
        <v>19</v>
      </c>
      <c r="K21" s="110"/>
      <c r="L21" s="110"/>
      <c r="M21" s="110"/>
      <c r="N21" s="110"/>
      <c r="O21" s="110"/>
      <c r="P21" s="110"/>
      <c r="Q21" s="110" t="s">
        <v>19</v>
      </c>
      <c r="R21" s="207"/>
    </row>
    <row r="22" spans="1:18" ht="16.5" thickBot="1" x14ac:dyDescent="0.3">
      <c r="A22" s="85">
        <v>2</v>
      </c>
      <c r="B22" s="85">
        <v>1</v>
      </c>
      <c r="C22" s="92">
        <v>1</v>
      </c>
      <c r="D22" s="85">
        <v>4</v>
      </c>
      <c r="E22" s="93"/>
      <c r="F22" s="104" t="s">
        <v>20</v>
      </c>
      <c r="G22" s="95">
        <f t="shared" ref="G22:R22" si="6">G23</f>
        <v>1633228</v>
      </c>
      <c r="H22" s="96">
        <f t="shared" si="6"/>
        <v>0</v>
      </c>
      <c r="I22" s="6" t="e">
        <f t="shared" si="6"/>
        <v>#REF!</v>
      </c>
      <c r="J22" s="96">
        <f t="shared" si="6"/>
        <v>0</v>
      </c>
      <c r="K22" s="96">
        <f t="shared" si="6"/>
        <v>0</v>
      </c>
      <c r="L22" s="96">
        <f t="shared" si="6"/>
        <v>0</v>
      </c>
      <c r="M22" s="96">
        <f t="shared" si="6"/>
        <v>0</v>
      </c>
      <c r="N22" s="105">
        <f t="shared" si="6"/>
        <v>42532</v>
      </c>
      <c r="O22" s="105">
        <f t="shared" si="6"/>
        <v>0</v>
      </c>
      <c r="P22" s="105">
        <f t="shared" si="6"/>
        <v>0</v>
      </c>
      <c r="Q22" s="118">
        <f t="shared" si="6"/>
        <v>42532</v>
      </c>
      <c r="R22" s="202">
        <f t="shared" si="6"/>
        <v>1590696</v>
      </c>
    </row>
    <row r="23" spans="1:18" ht="15.75" x14ac:dyDescent="0.25">
      <c r="A23" s="85">
        <v>2</v>
      </c>
      <c r="B23" s="85">
        <v>1</v>
      </c>
      <c r="C23" s="92">
        <v>1</v>
      </c>
      <c r="D23" s="85">
        <v>4</v>
      </c>
      <c r="E23" s="85">
        <v>1</v>
      </c>
      <c r="F23" s="106" t="s">
        <v>21</v>
      </c>
      <c r="G23" s="107">
        <v>1633228</v>
      </c>
      <c r="H23" s="109">
        <v>0</v>
      </c>
      <c r="I23" s="13" t="e">
        <f>+G23-#REF!</f>
        <v>#REF!</v>
      </c>
      <c r="J23" s="109">
        <v>0</v>
      </c>
      <c r="K23" s="109"/>
      <c r="L23" s="109"/>
      <c r="M23" s="109"/>
      <c r="N23" s="110">
        <v>42532</v>
      </c>
      <c r="O23" s="110"/>
      <c r="P23" s="110"/>
      <c r="Q23" s="103">
        <f>+H23+J23+K23+L23+M23+N23+O23+P23</f>
        <v>42532</v>
      </c>
      <c r="R23" s="208">
        <f>G23-Q23</f>
        <v>1590696</v>
      </c>
    </row>
    <row r="24" spans="1:18" ht="15.75" x14ac:dyDescent="0.25">
      <c r="A24" s="85"/>
      <c r="B24" s="85"/>
      <c r="C24" s="92"/>
      <c r="D24" s="85"/>
      <c r="E24" s="85"/>
      <c r="F24" s="106"/>
      <c r="G24" s="108"/>
      <c r="H24" s="110"/>
      <c r="I24" s="12"/>
      <c r="J24" s="110"/>
      <c r="K24" s="110"/>
      <c r="L24" s="110"/>
      <c r="M24" s="110"/>
      <c r="N24" s="110"/>
      <c r="O24" s="110" t="s">
        <v>142</v>
      </c>
      <c r="P24" s="110"/>
      <c r="Q24" s="110"/>
      <c r="R24" s="207"/>
    </row>
    <row r="25" spans="1:18" ht="16.5" thickBot="1" x14ac:dyDescent="0.3">
      <c r="A25" s="85">
        <v>2</v>
      </c>
      <c r="B25" s="85">
        <v>1</v>
      </c>
      <c r="C25" s="92">
        <v>1</v>
      </c>
      <c r="D25" s="85">
        <v>5</v>
      </c>
      <c r="E25" s="93"/>
      <c r="F25" s="104" t="s">
        <v>22</v>
      </c>
      <c r="G25" s="111">
        <f>G26+G29</f>
        <v>0</v>
      </c>
      <c r="H25" s="105">
        <f t="shared" ref="H25:R25" si="7">H26+H27+H28+H29</f>
        <v>0</v>
      </c>
      <c r="I25" s="10">
        <f t="shared" si="7"/>
        <v>0</v>
      </c>
      <c r="J25" s="105">
        <f t="shared" si="7"/>
        <v>0</v>
      </c>
      <c r="K25" s="105">
        <f t="shared" si="7"/>
        <v>0</v>
      </c>
      <c r="L25" s="105">
        <f t="shared" si="7"/>
        <v>0</v>
      </c>
      <c r="M25" s="105">
        <f t="shared" si="7"/>
        <v>0</v>
      </c>
      <c r="N25" s="105">
        <f t="shared" si="7"/>
        <v>0</v>
      </c>
      <c r="O25" s="105">
        <f t="shared" si="7"/>
        <v>0</v>
      </c>
      <c r="P25" s="105">
        <f t="shared" si="7"/>
        <v>0</v>
      </c>
      <c r="Q25" s="105">
        <f t="shared" si="7"/>
        <v>0</v>
      </c>
      <c r="R25" s="206">
        <f t="shared" si="7"/>
        <v>0</v>
      </c>
    </row>
    <row r="26" spans="1:18" ht="15.75" x14ac:dyDescent="0.25">
      <c r="A26" s="85">
        <v>2</v>
      </c>
      <c r="B26" s="85">
        <v>1</v>
      </c>
      <c r="C26" s="92">
        <v>1</v>
      </c>
      <c r="D26" s="85">
        <v>5</v>
      </c>
      <c r="E26" s="85">
        <v>1</v>
      </c>
      <c r="F26" s="106" t="s">
        <v>22</v>
      </c>
      <c r="G26" s="108"/>
      <c r="H26" s="110">
        <v>0</v>
      </c>
      <c r="I26" s="12">
        <v>0</v>
      </c>
      <c r="J26" s="110">
        <v>0</v>
      </c>
      <c r="K26" s="110"/>
      <c r="L26" s="110"/>
      <c r="M26" s="110"/>
      <c r="N26" s="110"/>
      <c r="O26" s="110"/>
      <c r="P26" s="110"/>
      <c r="Q26" s="103">
        <f>+H26+J26+K26+L26+M26+N26+O26+P26</f>
        <v>0</v>
      </c>
      <c r="R26" s="207">
        <v>0</v>
      </c>
    </row>
    <row r="27" spans="1:18" ht="31.5" x14ac:dyDescent="0.25">
      <c r="A27" s="85">
        <v>2</v>
      </c>
      <c r="B27" s="85">
        <v>1</v>
      </c>
      <c r="C27" s="92">
        <v>1</v>
      </c>
      <c r="D27" s="85">
        <v>5</v>
      </c>
      <c r="E27" s="85">
        <v>2</v>
      </c>
      <c r="F27" s="106" t="s">
        <v>23</v>
      </c>
      <c r="G27" s="108"/>
      <c r="H27" s="110">
        <v>0</v>
      </c>
      <c r="I27" s="12">
        <v>0</v>
      </c>
      <c r="J27" s="110">
        <v>0</v>
      </c>
      <c r="K27" s="110"/>
      <c r="L27" s="110"/>
      <c r="M27" s="110"/>
      <c r="N27" s="110"/>
      <c r="O27" s="110"/>
      <c r="P27" s="110"/>
      <c r="Q27" s="103">
        <f>+H27+J27+K27+L27+M27+N27+O27+P27</f>
        <v>0</v>
      </c>
      <c r="R27" s="207">
        <v>0</v>
      </c>
    </row>
    <row r="28" spans="1:18" ht="31.5" x14ac:dyDescent="0.25">
      <c r="A28" s="85">
        <v>2</v>
      </c>
      <c r="B28" s="85">
        <v>1</v>
      </c>
      <c r="C28" s="92">
        <v>1</v>
      </c>
      <c r="D28" s="85">
        <v>5</v>
      </c>
      <c r="E28" s="85">
        <v>3</v>
      </c>
      <c r="F28" s="106" t="s">
        <v>24</v>
      </c>
      <c r="G28" s="108"/>
      <c r="H28" s="110">
        <v>0</v>
      </c>
      <c r="I28" s="12">
        <v>0</v>
      </c>
      <c r="J28" s="110">
        <v>0</v>
      </c>
      <c r="K28" s="110"/>
      <c r="L28" s="110"/>
      <c r="M28" s="110"/>
      <c r="N28" s="110"/>
      <c r="O28" s="110"/>
      <c r="P28" s="110"/>
      <c r="Q28" s="103">
        <f>+H28+J28+K28+L28+M28+N28+O28+P28</f>
        <v>0</v>
      </c>
      <c r="R28" s="207">
        <v>0</v>
      </c>
    </row>
    <row r="29" spans="1:18" ht="31.5" x14ac:dyDescent="0.25">
      <c r="A29" s="85">
        <v>2</v>
      </c>
      <c r="B29" s="85">
        <v>1</v>
      </c>
      <c r="C29" s="92">
        <v>1</v>
      </c>
      <c r="D29" s="85">
        <v>5</v>
      </c>
      <c r="E29" s="85">
        <v>4</v>
      </c>
      <c r="F29" s="106" t="s">
        <v>25</v>
      </c>
      <c r="G29" s="108"/>
      <c r="H29" s="110"/>
      <c r="I29" s="12"/>
      <c r="J29" s="110"/>
      <c r="K29" s="110"/>
      <c r="L29" s="110"/>
      <c r="M29" s="110"/>
      <c r="N29" s="110"/>
      <c r="O29" s="110"/>
      <c r="P29" s="110"/>
      <c r="Q29" s="110"/>
      <c r="R29" s="207"/>
    </row>
    <row r="30" spans="1:18" ht="16.5" thickBot="1" x14ac:dyDescent="0.3">
      <c r="A30" s="85"/>
      <c r="B30" s="85"/>
      <c r="C30" s="92"/>
      <c r="D30" s="85"/>
      <c r="E30" s="85"/>
      <c r="F30" s="106"/>
      <c r="G30" s="108"/>
      <c r="H30" s="110"/>
      <c r="I30" s="12"/>
      <c r="J30" s="110"/>
      <c r="K30" s="110"/>
      <c r="L30" s="110"/>
      <c r="M30" s="110"/>
      <c r="N30" s="110"/>
      <c r="O30" s="110"/>
      <c r="P30" s="110"/>
      <c r="Q30" s="110"/>
      <c r="R30" s="207"/>
    </row>
    <row r="31" spans="1:18" ht="16.5" thickBot="1" x14ac:dyDescent="0.3">
      <c r="A31" s="85">
        <v>2</v>
      </c>
      <c r="B31" s="85">
        <v>1</v>
      </c>
      <c r="C31" s="92">
        <v>2</v>
      </c>
      <c r="D31" s="85"/>
      <c r="E31" s="85"/>
      <c r="F31" s="104" t="s">
        <v>26</v>
      </c>
      <c r="G31" s="112">
        <f t="shared" ref="G31:R31" si="8">G32</f>
        <v>2383080</v>
      </c>
      <c r="H31" s="113">
        <f t="shared" si="8"/>
        <v>0</v>
      </c>
      <c r="I31" s="14" t="e">
        <f t="shared" si="8"/>
        <v>#REF!</v>
      </c>
      <c r="J31" s="113">
        <f t="shared" si="8"/>
        <v>0</v>
      </c>
      <c r="K31" s="113">
        <f t="shared" si="8"/>
        <v>0</v>
      </c>
      <c r="L31" s="113">
        <f t="shared" si="8"/>
        <v>0</v>
      </c>
      <c r="M31" s="113">
        <f>M32</f>
        <v>0</v>
      </c>
      <c r="N31" s="113">
        <f t="shared" si="8"/>
        <v>0</v>
      </c>
      <c r="O31" s="113">
        <f t="shared" si="8"/>
        <v>0</v>
      </c>
      <c r="P31" s="113">
        <f>P32</f>
        <v>1065064.25</v>
      </c>
      <c r="Q31" s="113">
        <f t="shared" si="8"/>
        <v>1065064.25</v>
      </c>
      <c r="R31" s="204">
        <f t="shared" si="8"/>
        <v>1318015.75</v>
      </c>
    </row>
    <row r="32" spans="1:18" ht="16.5" thickBot="1" x14ac:dyDescent="0.3">
      <c r="A32" s="85">
        <v>2</v>
      </c>
      <c r="B32" s="85">
        <v>1</v>
      </c>
      <c r="C32" s="85">
        <v>2</v>
      </c>
      <c r="D32" s="85">
        <v>2</v>
      </c>
      <c r="E32" s="85"/>
      <c r="F32" s="104" t="s">
        <v>27</v>
      </c>
      <c r="G32" s="95">
        <f>G33+G34+G36</f>
        <v>2383080</v>
      </c>
      <c r="H32" s="105">
        <f t="shared" ref="H32:N32" si="9">SUM(H33:H40)</f>
        <v>0</v>
      </c>
      <c r="I32" s="105" t="e">
        <f t="shared" si="9"/>
        <v>#REF!</v>
      </c>
      <c r="J32" s="105">
        <f t="shared" si="9"/>
        <v>0</v>
      </c>
      <c r="K32" s="105">
        <f t="shared" si="9"/>
        <v>0</v>
      </c>
      <c r="L32" s="105">
        <f t="shared" si="9"/>
        <v>0</v>
      </c>
      <c r="M32" s="105">
        <f t="shared" si="9"/>
        <v>0</v>
      </c>
      <c r="N32" s="105">
        <f t="shared" si="9"/>
        <v>0</v>
      </c>
      <c r="O32" s="105">
        <f>SUM(O33:O40)</f>
        <v>0</v>
      </c>
      <c r="P32" s="105">
        <f>SUM(P33:P40)</f>
        <v>1065064.25</v>
      </c>
      <c r="Q32" s="243">
        <f>SUM(Q33:Q40)</f>
        <v>1065064.25</v>
      </c>
      <c r="R32" s="244">
        <f>+R33+R34+R35+R36+R37+R38+R39+R40</f>
        <v>1318015.75</v>
      </c>
    </row>
    <row r="33" spans="1:18" ht="31.5" x14ac:dyDescent="0.25">
      <c r="A33" s="85">
        <v>2</v>
      </c>
      <c r="B33" s="85">
        <v>1</v>
      </c>
      <c r="C33" s="85">
        <v>2</v>
      </c>
      <c r="D33" s="85">
        <v>2</v>
      </c>
      <c r="E33" s="85">
        <v>2</v>
      </c>
      <c r="F33" s="104" t="s">
        <v>28</v>
      </c>
      <c r="G33" s="114"/>
      <c r="H33" s="96">
        <v>0</v>
      </c>
      <c r="I33" s="6">
        <v>0</v>
      </c>
      <c r="J33" s="96">
        <v>0</v>
      </c>
      <c r="K33" s="96">
        <v>0</v>
      </c>
      <c r="L33" s="96"/>
      <c r="M33" s="96"/>
      <c r="N33" s="96"/>
      <c r="O33" s="96"/>
      <c r="P33" s="96"/>
      <c r="Q33" s="196">
        <f>+H33+J33+K33+L33+M33+N33+O33+P33</f>
        <v>0</v>
      </c>
      <c r="R33" s="220">
        <f>G33-Q33</f>
        <v>0</v>
      </c>
    </row>
    <row r="34" spans="1:18" ht="15.75" x14ac:dyDescent="0.25">
      <c r="A34" s="85">
        <v>2</v>
      </c>
      <c r="B34" s="85">
        <v>1</v>
      </c>
      <c r="C34" s="85">
        <v>2</v>
      </c>
      <c r="D34" s="85">
        <v>2</v>
      </c>
      <c r="E34" s="85">
        <v>4</v>
      </c>
      <c r="F34" s="106" t="s">
        <v>29</v>
      </c>
      <c r="G34" s="108">
        <v>0</v>
      </c>
      <c r="H34" s="110">
        <v>0</v>
      </c>
      <c r="I34" s="110">
        <v>0</v>
      </c>
      <c r="J34" s="110">
        <v>0</v>
      </c>
      <c r="K34" s="110">
        <v>0</v>
      </c>
      <c r="L34" s="110"/>
      <c r="M34" s="110"/>
      <c r="N34" s="110"/>
      <c r="O34" s="110"/>
      <c r="P34" s="110"/>
      <c r="Q34" s="196">
        <f t="shared" ref="Q34:Q41" si="10">+H34+J34+K34+L34+M34+N34+O34+P34</f>
        <v>0</v>
      </c>
      <c r="R34" s="220">
        <f>G34-Q34</f>
        <v>0</v>
      </c>
    </row>
    <row r="35" spans="1:18" ht="15.75" x14ac:dyDescent="0.25">
      <c r="A35" s="85">
        <v>2</v>
      </c>
      <c r="B35" s="85">
        <v>1</v>
      </c>
      <c r="C35" s="85">
        <v>2</v>
      </c>
      <c r="D35" s="85">
        <v>2</v>
      </c>
      <c r="E35" s="85">
        <v>10</v>
      </c>
      <c r="F35" s="106" t="s">
        <v>149</v>
      </c>
      <c r="G35" s="108"/>
      <c r="H35" s="110"/>
      <c r="I35" s="207"/>
      <c r="J35" s="110"/>
      <c r="K35" s="110"/>
      <c r="L35" s="110"/>
      <c r="M35" s="110"/>
      <c r="N35" s="110"/>
      <c r="O35" s="110"/>
      <c r="P35" s="110"/>
      <c r="Q35" s="196">
        <f t="shared" si="10"/>
        <v>0</v>
      </c>
      <c r="R35" s="220">
        <f t="shared" ref="R35:R40" si="11">G35-Q35</f>
        <v>0</v>
      </c>
    </row>
    <row r="36" spans="1:18" ht="15.75" x14ac:dyDescent="0.25">
      <c r="A36" s="85">
        <v>2</v>
      </c>
      <c r="B36" s="85">
        <v>1</v>
      </c>
      <c r="C36" s="85">
        <v>2</v>
      </c>
      <c r="D36" s="85">
        <v>2</v>
      </c>
      <c r="E36" s="85">
        <v>15</v>
      </c>
      <c r="F36" s="106" t="s">
        <v>30</v>
      </c>
      <c r="G36" s="108">
        <v>2383080</v>
      </c>
      <c r="H36" s="110"/>
      <c r="I36" s="12" t="e">
        <f>+G36-#REF!</f>
        <v>#REF!</v>
      </c>
      <c r="J36" s="110"/>
      <c r="K36" s="110"/>
      <c r="L36" s="110"/>
      <c r="M36" s="110"/>
      <c r="N36" s="110"/>
      <c r="O36" s="110"/>
      <c r="P36" s="110"/>
      <c r="Q36" s="196">
        <f t="shared" si="10"/>
        <v>0</v>
      </c>
      <c r="R36" s="220">
        <f>G36-Q36</f>
        <v>2383080</v>
      </c>
    </row>
    <row r="37" spans="1:18" ht="15.75" x14ac:dyDescent="0.25">
      <c r="A37" s="85"/>
      <c r="B37" s="85"/>
      <c r="C37" s="92"/>
      <c r="D37" s="85"/>
      <c r="E37" s="85"/>
      <c r="F37" s="106"/>
      <c r="G37" s="108"/>
      <c r="H37" s="110"/>
      <c r="I37" s="12"/>
      <c r="J37" s="110"/>
      <c r="K37" s="110"/>
      <c r="L37" s="110"/>
      <c r="M37" s="110"/>
      <c r="N37" s="110"/>
      <c r="O37" s="110"/>
      <c r="P37" s="110"/>
      <c r="Q37" s="196">
        <f t="shared" si="10"/>
        <v>0</v>
      </c>
      <c r="R37" s="220">
        <f t="shared" si="11"/>
        <v>0</v>
      </c>
    </row>
    <row r="38" spans="1:18" ht="15.75" x14ac:dyDescent="0.25">
      <c r="A38" s="85">
        <v>2</v>
      </c>
      <c r="B38" s="85">
        <v>1</v>
      </c>
      <c r="C38" s="92">
        <v>3</v>
      </c>
      <c r="D38" s="85">
        <v>7</v>
      </c>
      <c r="E38" s="85"/>
      <c r="F38" s="104" t="s">
        <v>146</v>
      </c>
      <c r="G38" s="108"/>
      <c r="H38" s="110"/>
      <c r="I38" s="12"/>
      <c r="J38" s="110"/>
      <c r="K38" s="110"/>
      <c r="L38" s="110"/>
      <c r="M38" s="110"/>
      <c r="N38" s="110"/>
      <c r="O38" s="110"/>
      <c r="P38" s="110"/>
      <c r="Q38" s="196">
        <f t="shared" si="10"/>
        <v>0</v>
      </c>
      <c r="R38" s="220">
        <f t="shared" si="11"/>
        <v>0</v>
      </c>
    </row>
    <row r="39" spans="1:18" ht="15.75" x14ac:dyDescent="0.25">
      <c r="A39" s="85">
        <v>2</v>
      </c>
      <c r="B39" s="85">
        <v>1</v>
      </c>
      <c r="C39" s="92">
        <v>3</v>
      </c>
      <c r="D39" s="85">
        <v>7</v>
      </c>
      <c r="E39" s="85">
        <v>2</v>
      </c>
      <c r="F39" s="106" t="s">
        <v>147</v>
      </c>
      <c r="G39" s="108"/>
      <c r="H39" s="110"/>
      <c r="I39" s="12"/>
      <c r="J39" s="110"/>
      <c r="K39" s="110"/>
      <c r="L39" s="110"/>
      <c r="M39" s="110"/>
      <c r="N39" s="110"/>
      <c r="O39" s="110"/>
      <c r="P39" s="110">
        <f>20000+20000+20000+20000+10000+10000+20000</f>
        <v>120000</v>
      </c>
      <c r="Q39" s="196">
        <f>+H39+J39+K39+L39+M39+N39+O39+P39</f>
        <v>120000</v>
      </c>
      <c r="R39" s="220">
        <f t="shared" si="11"/>
        <v>-120000</v>
      </c>
    </row>
    <row r="40" spans="1:18" ht="15.75" x14ac:dyDescent="0.25">
      <c r="A40" s="85">
        <v>2</v>
      </c>
      <c r="B40" s="85">
        <v>1</v>
      </c>
      <c r="C40" s="92">
        <v>3</v>
      </c>
      <c r="D40" s="85">
        <v>7</v>
      </c>
      <c r="E40" s="85">
        <v>4</v>
      </c>
      <c r="F40" s="106" t="s">
        <v>148</v>
      </c>
      <c r="G40" s="108"/>
      <c r="H40" s="110"/>
      <c r="I40" s="12"/>
      <c r="J40" s="110"/>
      <c r="K40" s="110"/>
      <c r="L40" s="110"/>
      <c r="M40" s="110"/>
      <c r="N40" s="110"/>
      <c r="O40" s="110"/>
      <c r="P40" s="110">
        <f>225000+85065+110065+122117+73500+80500+48920+73500+45663.75+55033.5+25700</f>
        <v>945064.25</v>
      </c>
      <c r="Q40" s="196">
        <f>+H40+J40+K40+L40+M40+N40+O40+P40</f>
        <v>945064.25</v>
      </c>
      <c r="R40" s="220">
        <f t="shared" si="11"/>
        <v>-945064.25</v>
      </c>
    </row>
    <row r="41" spans="1:18" ht="15.75" x14ac:dyDescent="0.25">
      <c r="A41" s="85"/>
      <c r="B41" s="85"/>
      <c r="C41" s="92"/>
      <c r="D41" s="85"/>
      <c r="E41" s="85"/>
      <c r="F41" s="106"/>
      <c r="G41" s="108"/>
      <c r="H41" s="110"/>
      <c r="I41" s="12"/>
      <c r="J41" s="110"/>
      <c r="K41" s="110"/>
      <c r="L41" s="110"/>
      <c r="M41" s="110"/>
      <c r="N41" s="110"/>
      <c r="O41" s="110"/>
      <c r="P41" s="110"/>
      <c r="Q41" s="196">
        <f t="shared" si="10"/>
        <v>0</v>
      </c>
      <c r="R41" s="220"/>
    </row>
    <row r="42" spans="1:18" ht="32.25" thickBot="1" x14ac:dyDescent="0.3">
      <c r="A42" s="85">
        <v>2</v>
      </c>
      <c r="B42" s="85">
        <v>1</v>
      </c>
      <c r="C42" s="92">
        <v>3</v>
      </c>
      <c r="D42" s="85"/>
      <c r="E42" s="85"/>
      <c r="F42" s="104" t="s">
        <v>31</v>
      </c>
      <c r="G42" s="108"/>
      <c r="H42" s="110"/>
      <c r="I42" s="12"/>
      <c r="J42" s="110"/>
      <c r="K42" s="110"/>
      <c r="L42" s="110"/>
      <c r="M42" s="110"/>
      <c r="N42" s="110"/>
      <c r="O42" s="110"/>
      <c r="P42" s="110"/>
      <c r="Q42" s="183"/>
      <c r="R42" s="221"/>
    </row>
    <row r="43" spans="1:18" ht="16.5" thickBot="1" x14ac:dyDescent="0.3">
      <c r="A43" s="85">
        <v>2</v>
      </c>
      <c r="B43" s="85">
        <v>1</v>
      </c>
      <c r="C43" s="92">
        <v>3</v>
      </c>
      <c r="D43" s="85">
        <v>1</v>
      </c>
      <c r="E43" s="93"/>
      <c r="F43" s="104" t="s">
        <v>32</v>
      </c>
      <c r="G43" s="97">
        <f t="shared" ref="G43:Q43" si="12">G44+G45</f>
        <v>0</v>
      </c>
      <c r="H43" s="98">
        <f t="shared" si="12"/>
        <v>0</v>
      </c>
      <c r="I43" s="16">
        <f t="shared" si="12"/>
        <v>0</v>
      </c>
      <c r="J43" s="98">
        <f t="shared" si="12"/>
        <v>0</v>
      </c>
      <c r="K43" s="98">
        <f t="shared" si="12"/>
        <v>0</v>
      </c>
      <c r="L43" s="98">
        <f t="shared" si="12"/>
        <v>0</v>
      </c>
      <c r="M43" s="98">
        <f t="shared" si="12"/>
        <v>0</v>
      </c>
      <c r="N43" s="98">
        <f t="shared" si="12"/>
        <v>0</v>
      </c>
      <c r="O43" s="98"/>
      <c r="P43" s="98"/>
      <c r="Q43" s="98">
        <f t="shared" si="12"/>
        <v>0</v>
      </c>
      <c r="R43" s="211">
        <f>R44+R45</f>
        <v>0</v>
      </c>
    </row>
    <row r="44" spans="1:18" ht="15.75" x14ac:dyDescent="0.25">
      <c r="A44" s="85">
        <v>2</v>
      </c>
      <c r="B44" s="85">
        <v>1</v>
      </c>
      <c r="C44" s="92">
        <v>3</v>
      </c>
      <c r="D44" s="85">
        <v>1</v>
      </c>
      <c r="E44" s="85">
        <v>1</v>
      </c>
      <c r="F44" s="106" t="s">
        <v>33</v>
      </c>
      <c r="G44" s="107"/>
      <c r="H44" s="110">
        <f t="shared" ref="H44:K45" si="13">G44*12</f>
        <v>0</v>
      </c>
      <c r="I44" s="110">
        <f t="shared" si="13"/>
        <v>0</v>
      </c>
      <c r="J44" s="110">
        <f t="shared" si="13"/>
        <v>0</v>
      </c>
      <c r="K44" s="110">
        <f t="shared" si="13"/>
        <v>0</v>
      </c>
      <c r="L44" s="110"/>
      <c r="M44" s="110"/>
      <c r="N44" s="110"/>
      <c r="O44" s="110"/>
      <c r="P44" s="110"/>
      <c r="Q44" s="182">
        <f>+H44+J44+K44+L44+M44+N44+O44+P44</f>
        <v>0</v>
      </c>
      <c r="R44" s="207">
        <f>+G44-Q44</f>
        <v>0</v>
      </c>
    </row>
    <row r="45" spans="1:18" ht="15.75" x14ac:dyDescent="0.25">
      <c r="A45" s="85">
        <v>2</v>
      </c>
      <c r="B45" s="85">
        <v>1</v>
      </c>
      <c r="C45" s="92">
        <v>3</v>
      </c>
      <c r="D45" s="85">
        <v>1</v>
      </c>
      <c r="E45" s="85">
        <v>2</v>
      </c>
      <c r="F45" s="106" t="s">
        <v>34</v>
      </c>
      <c r="G45" s="108"/>
      <c r="H45" s="110">
        <f t="shared" si="13"/>
        <v>0</v>
      </c>
      <c r="I45" s="110">
        <f t="shared" si="13"/>
        <v>0</v>
      </c>
      <c r="J45" s="110">
        <f t="shared" si="13"/>
        <v>0</v>
      </c>
      <c r="K45" s="110">
        <f t="shared" si="13"/>
        <v>0</v>
      </c>
      <c r="L45" s="110"/>
      <c r="M45" s="110"/>
      <c r="N45" s="110"/>
      <c r="O45" s="110"/>
      <c r="P45" s="110"/>
      <c r="Q45" s="103">
        <f>+H45+J45+K45+L45+M45+N45+O45+P45</f>
        <v>0</v>
      </c>
      <c r="R45" s="207">
        <f>+G45-Q45</f>
        <v>0</v>
      </c>
    </row>
    <row r="46" spans="1:18" s="17" customFormat="1" ht="15.75" x14ac:dyDescent="0.25">
      <c r="A46" s="85"/>
      <c r="B46" s="85"/>
      <c r="C46" s="92"/>
      <c r="D46" s="85"/>
      <c r="E46" s="85"/>
      <c r="F46" s="106"/>
      <c r="G46" s="108"/>
      <c r="H46" s="110"/>
      <c r="I46" s="12"/>
      <c r="J46" s="110"/>
      <c r="K46" s="110"/>
      <c r="L46" s="110"/>
      <c r="M46" s="110"/>
      <c r="N46" s="110"/>
      <c r="O46" s="110"/>
      <c r="P46" s="110"/>
      <c r="Q46" s="110"/>
      <c r="R46" s="207"/>
    </row>
    <row r="47" spans="1:18" ht="32.25" thickBot="1" x14ac:dyDescent="0.3">
      <c r="A47" s="85">
        <v>2</v>
      </c>
      <c r="B47" s="115">
        <v>1</v>
      </c>
      <c r="C47" s="116">
        <v>5</v>
      </c>
      <c r="D47" s="93"/>
      <c r="E47" s="93"/>
      <c r="F47" s="104" t="s">
        <v>35</v>
      </c>
      <c r="G47" s="95">
        <f>SUM(G48:G50)</f>
        <v>2811673</v>
      </c>
      <c r="H47" s="96">
        <f>SUM(H48:H50)</f>
        <v>206315.72999999998</v>
      </c>
      <c r="I47" s="6" t="e">
        <f>SUM(I48:I50)</f>
        <v>#REF!</v>
      </c>
      <c r="J47" s="96">
        <f>SUM(J48:J50)</f>
        <v>208973.74</v>
      </c>
      <c r="K47" s="96">
        <f>SUM(K48:K50)</f>
        <v>208973.74</v>
      </c>
      <c r="L47" s="96">
        <f t="shared" ref="L47:Q47" si="14">SUM(L48:L50)</f>
        <v>202912.02100000001</v>
      </c>
      <c r="M47" s="96">
        <f t="shared" si="14"/>
        <v>208973.74</v>
      </c>
      <c r="N47" s="105">
        <f t="shared" si="14"/>
        <v>208973.74</v>
      </c>
      <c r="O47" s="105">
        <f t="shared" si="14"/>
        <v>208973.74</v>
      </c>
      <c r="P47" s="105">
        <f t="shared" si="14"/>
        <v>208973.74</v>
      </c>
      <c r="Q47" s="118">
        <f t="shared" si="14"/>
        <v>1663070.1910000001</v>
      </c>
      <c r="R47" s="202">
        <f>SUM(R48:R50)</f>
        <v>1148602.8089999999</v>
      </c>
    </row>
    <row r="48" spans="1:18" ht="31.5" x14ac:dyDescent="0.25">
      <c r="A48" s="85">
        <v>2</v>
      </c>
      <c r="B48" s="85">
        <v>1</v>
      </c>
      <c r="C48" s="92">
        <v>5</v>
      </c>
      <c r="D48" s="85">
        <v>1</v>
      </c>
      <c r="E48" s="85"/>
      <c r="F48" s="99" t="s">
        <v>36</v>
      </c>
      <c r="G48" s="107">
        <v>1272777</v>
      </c>
      <c r="H48" s="109">
        <v>92444.4</v>
      </c>
      <c r="I48" s="13" t="e">
        <f>+G48-#REF!</f>
        <v>#REF!</v>
      </c>
      <c r="J48" s="109">
        <v>94075.8</v>
      </c>
      <c r="K48" s="109">
        <v>94075.8</v>
      </c>
      <c r="L48" s="109">
        <f>94075.801-6061.72</f>
        <v>88014.081000000006</v>
      </c>
      <c r="M48" s="109">
        <v>94075.8</v>
      </c>
      <c r="N48" s="110">
        <v>94075.8</v>
      </c>
      <c r="O48" s="110">
        <v>94075.8</v>
      </c>
      <c r="P48" s="110">
        <v>94075.8</v>
      </c>
      <c r="Q48" s="103">
        <f>+H48+J48+K48+L48+M48+N48+O48+P48</f>
        <v>744913.28100000008</v>
      </c>
      <c r="R48" s="208">
        <f>+G48-Q48</f>
        <v>527863.71899999992</v>
      </c>
    </row>
    <row r="49" spans="1:18" ht="31.5" x14ac:dyDescent="0.25">
      <c r="A49" s="85">
        <v>2</v>
      </c>
      <c r="B49" s="85">
        <v>1</v>
      </c>
      <c r="C49" s="92">
        <v>5</v>
      </c>
      <c r="D49" s="85">
        <v>2</v>
      </c>
      <c r="E49" s="85"/>
      <c r="F49" s="99" t="s">
        <v>37</v>
      </c>
      <c r="G49" s="108">
        <v>1391511</v>
      </c>
      <c r="H49" s="110">
        <v>103292.95</v>
      </c>
      <c r="I49" s="12" t="e">
        <f>+G49-#REF!</f>
        <v>#REF!</v>
      </c>
      <c r="J49" s="110">
        <v>104002.95</v>
      </c>
      <c r="K49" s="110">
        <v>104002.95</v>
      </c>
      <c r="L49" s="110">
        <v>104002.95</v>
      </c>
      <c r="M49" s="110">
        <v>104002.95</v>
      </c>
      <c r="N49" s="110">
        <v>104002.95</v>
      </c>
      <c r="O49" s="110">
        <v>104002.95</v>
      </c>
      <c r="P49" s="110">
        <v>104002.95</v>
      </c>
      <c r="Q49" s="103">
        <f>+H49+J49+K49+L49+M49+N49+O49+P49</f>
        <v>831313.59999999986</v>
      </c>
      <c r="R49" s="207">
        <f>+G49-Q49</f>
        <v>560197.40000000014</v>
      </c>
    </row>
    <row r="50" spans="1:18" ht="15.75" x14ac:dyDescent="0.25">
      <c r="A50" s="85">
        <v>2</v>
      </c>
      <c r="B50" s="85">
        <v>1</v>
      </c>
      <c r="C50" s="92">
        <v>5</v>
      </c>
      <c r="D50" s="85">
        <v>3</v>
      </c>
      <c r="E50" s="85"/>
      <c r="F50" s="106" t="s">
        <v>38</v>
      </c>
      <c r="G50" s="108">
        <v>147385</v>
      </c>
      <c r="H50" s="110">
        <v>10578.38</v>
      </c>
      <c r="I50" s="12" t="e">
        <f>+G50-#REF!</f>
        <v>#REF!</v>
      </c>
      <c r="J50" s="110">
        <v>10894.99</v>
      </c>
      <c r="K50" s="110">
        <v>10894.99</v>
      </c>
      <c r="L50" s="110">
        <v>10894.99</v>
      </c>
      <c r="M50" s="110">
        <v>10894.99</v>
      </c>
      <c r="N50" s="110">
        <v>10894.99</v>
      </c>
      <c r="O50" s="110">
        <v>10894.99</v>
      </c>
      <c r="P50" s="110">
        <v>10894.99</v>
      </c>
      <c r="Q50" s="103">
        <f>+H50+J50+K50+L50+M50+N50+O50+P50</f>
        <v>86843.31</v>
      </c>
      <c r="R50" s="207">
        <f>+G50-Q50</f>
        <v>60541.69</v>
      </c>
    </row>
    <row r="51" spans="1:18" ht="15.75" x14ac:dyDescent="0.25">
      <c r="A51" s="85"/>
      <c r="B51" s="85"/>
      <c r="C51" s="92"/>
      <c r="D51" s="85"/>
      <c r="E51" s="85"/>
      <c r="F51" s="106"/>
      <c r="G51" s="108"/>
      <c r="H51" s="110"/>
      <c r="I51" s="12"/>
      <c r="J51" s="110"/>
      <c r="K51" s="110"/>
      <c r="L51" s="110"/>
      <c r="M51" s="110"/>
      <c r="N51" s="110"/>
      <c r="O51" s="110"/>
      <c r="P51" s="110"/>
      <c r="Q51" s="110"/>
      <c r="R51" s="207"/>
    </row>
    <row r="52" spans="1:18" ht="16.5" thickBot="1" x14ac:dyDescent="0.3">
      <c r="A52" s="85">
        <v>2</v>
      </c>
      <c r="B52" s="85">
        <v>2</v>
      </c>
      <c r="C52" s="92"/>
      <c r="D52" s="85"/>
      <c r="E52" s="93"/>
      <c r="F52" s="94" t="s">
        <v>39</v>
      </c>
      <c r="G52" s="95">
        <f t="shared" ref="G52:R52" si="15">G53+G61+G65+G69+G73+G85+G93+G81+G108</f>
        <v>26111226</v>
      </c>
      <c r="H52" s="105">
        <f t="shared" si="15"/>
        <v>1340446.24</v>
      </c>
      <c r="I52" s="10" t="e">
        <f t="shared" si="15"/>
        <v>#REF!</v>
      </c>
      <c r="J52" s="105">
        <f t="shared" si="15"/>
        <v>1520971.4000000001</v>
      </c>
      <c r="K52" s="105">
        <f t="shared" si="15"/>
        <v>1562030.84</v>
      </c>
      <c r="L52" s="105">
        <f t="shared" si="15"/>
        <v>2163287.7000000002</v>
      </c>
      <c r="M52" s="105">
        <f t="shared" si="15"/>
        <v>1933250.05</v>
      </c>
      <c r="N52" s="105">
        <f t="shared" si="15"/>
        <v>1878724.8000000003</v>
      </c>
      <c r="O52" s="105">
        <f t="shared" si="15"/>
        <v>1885963.28</v>
      </c>
      <c r="P52" s="105">
        <f t="shared" si="15"/>
        <v>1593881.03</v>
      </c>
      <c r="Q52" s="105">
        <f t="shared" si="15"/>
        <v>13878555.34</v>
      </c>
      <c r="R52" s="206">
        <f t="shared" si="15"/>
        <v>12232670.659999998</v>
      </c>
    </row>
    <row r="53" spans="1:18" ht="16.5" thickBot="1" x14ac:dyDescent="0.3">
      <c r="A53" s="85">
        <v>2</v>
      </c>
      <c r="B53" s="85">
        <v>2</v>
      </c>
      <c r="C53" s="92">
        <v>1</v>
      </c>
      <c r="D53" s="85"/>
      <c r="E53" s="93"/>
      <c r="F53" s="94" t="s">
        <v>40</v>
      </c>
      <c r="G53" s="112">
        <f t="shared" ref="G53:R53" si="16">G54+G55+G56+G58</f>
        <v>1354093</v>
      </c>
      <c r="H53" s="96">
        <f t="shared" si="16"/>
        <v>122900.01999999999</v>
      </c>
      <c r="I53" s="6" t="e">
        <f t="shared" si="16"/>
        <v>#REF!</v>
      </c>
      <c r="J53" s="96">
        <f t="shared" si="16"/>
        <v>121985.62</v>
      </c>
      <c r="K53" s="96">
        <f t="shared" si="16"/>
        <v>120045.4</v>
      </c>
      <c r="L53" s="96">
        <f t="shared" si="16"/>
        <v>164988.94</v>
      </c>
      <c r="M53" s="96">
        <f t="shared" si="16"/>
        <v>121623.14</v>
      </c>
      <c r="N53" s="113">
        <f t="shared" si="16"/>
        <v>137949.64000000001</v>
      </c>
      <c r="O53" s="113">
        <f t="shared" si="16"/>
        <v>132119.09999999998</v>
      </c>
      <c r="P53" s="113">
        <f t="shared" si="16"/>
        <v>145715.07</v>
      </c>
      <c r="Q53" s="113">
        <f>Q54+Q55+Q56+Q58</f>
        <v>1067326.9300000002</v>
      </c>
      <c r="R53" s="202">
        <f t="shared" si="16"/>
        <v>286766.07</v>
      </c>
    </row>
    <row r="54" spans="1:18" ht="15.75" x14ac:dyDescent="0.25">
      <c r="A54" s="85">
        <v>2</v>
      </c>
      <c r="B54" s="85">
        <v>2</v>
      </c>
      <c r="C54" s="92">
        <v>1</v>
      </c>
      <c r="D54" s="85">
        <v>3</v>
      </c>
      <c r="E54" s="85"/>
      <c r="F54" s="99" t="s">
        <v>41</v>
      </c>
      <c r="G54" s="107">
        <v>336000</v>
      </c>
      <c r="H54" s="109">
        <f>47963.82+22207.42+2155</f>
        <v>72326.239999999991</v>
      </c>
      <c r="I54" s="13" t="e">
        <f>+G54-#REF!</f>
        <v>#REF!</v>
      </c>
      <c r="J54" s="109">
        <f>8785.14+2212.21+22518.17+31889</f>
        <v>65404.52</v>
      </c>
      <c r="K54" s="109">
        <f>31889+22264.93+2041</f>
        <v>56194.93</v>
      </c>
      <c r="L54" s="109">
        <f>22125.78+42779+2041</f>
        <v>66945.78</v>
      </c>
      <c r="M54" s="109">
        <f>31893.55+22075.97+2041</f>
        <v>56010.520000000004</v>
      </c>
      <c r="N54" s="110">
        <f>21949.11+31889+2041+18886.02</f>
        <v>74765.13</v>
      </c>
      <c r="O54" s="110">
        <f>7793.5+2041+22381.37+31889</f>
        <v>64104.869999999995</v>
      </c>
      <c r="P54" s="110">
        <f>41007.81+22791.57+2041+8353.6</f>
        <v>74193.98000000001</v>
      </c>
      <c r="Q54" s="103">
        <f>+H54+J54+K54+L54+M54+N54+O54+P54</f>
        <v>529945.97</v>
      </c>
      <c r="R54" s="208">
        <f>+G54-Q54</f>
        <v>-193945.96999999997</v>
      </c>
    </row>
    <row r="55" spans="1:18" ht="15.75" x14ac:dyDescent="0.25">
      <c r="A55" s="85">
        <v>2</v>
      </c>
      <c r="B55" s="85">
        <v>2</v>
      </c>
      <c r="C55" s="92">
        <v>1</v>
      </c>
      <c r="D55" s="85">
        <v>4</v>
      </c>
      <c r="E55" s="85"/>
      <c r="F55" s="99" t="s">
        <v>42</v>
      </c>
      <c r="G55" s="108"/>
      <c r="H55" s="110"/>
      <c r="I55" s="12"/>
      <c r="J55" s="110"/>
      <c r="K55" s="110"/>
      <c r="L55" s="110"/>
      <c r="M55" s="110"/>
      <c r="N55" s="110"/>
      <c r="O55" s="110"/>
      <c r="P55" s="110"/>
      <c r="Q55" s="103">
        <f>+H55+J55+K55+L55+M55+N55+O55+P55</f>
        <v>0</v>
      </c>
      <c r="R55" s="207">
        <f>+G55-Q55</f>
        <v>0</v>
      </c>
    </row>
    <row r="56" spans="1:18" ht="31.5" x14ac:dyDescent="0.25">
      <c r="A56" s="85">
        <v>2</v>
      </c>
      <c r="B56" s="85">
        <v>2</v>
      </c>
      <c r="C56" s="92">
        <v>1</v>
      </c>
      <c r="D56" s="85">
        <v>5</v>
      </c>
      <c r="E56" s="85"/>
      <c r="F56" s="99" t="s">
        <v>43</v>
      </c>
      <c r="G56" s="108">
        <v>346093</v>
      </c>
      <c r="H56" s="110"/>
      <c r="I56" s="12" t="e">
        <f>+G56-#REF!</f>
        <v>#REF!</v>
      </c>
      <c r="J56" s="110"/>
      <c r="K56" s="110">
        <v>9289.85</v>
      </c>
      <c r="L56" s="110">
        <v>40068.33</v>
      </c>
      <c r="M56" s="110"/>
      <c r="N56" s="110"/>
      <c r="O56" s="110"/>
      <c r="P56" s="110"/>
      <c r="Q56" s="103">
        <f>+H56+J56+K56+L56+M56+N56+O56+P56</f>
        <v>49358.18</v>
      </c>
      <c r="R56" s="207">
        <f>+G56-Q56</f>
        <v>296734.82</v>
      </c>
    </row>
    <row r="57" spans="1:18" ht="15.75" x14ac:dyDescent="0.25">
      <c r="A57" s="85"/>
      <c r="B57" s="85"/>
      <c r="C57" s="92"/>
      <c r="D57" s="85"/>
      <c r="E57" s="85"/>
      <c r="F57" s="99"/>
      <c r="G57" s="108"/>
      <c r="H57" s="110"/>
      <c r="I57" s="12"/>
      <c r="J57" s="110"/>
      <c r="K57" s="110"/>
      <c r="L57" s="110"/>
      <c r="M57" s="110"/>
      <c r="N57" s="110"/>
      <c r="O57" s="110"/>
      <c r="P57" s="110"/>
      <c r="Q57" s="110"/>
      <c r="R57" s="207"/>
    </row>
    <row r="58" spans="1:18" ht="16.5" thickBot="1" x14ac:dyDescent="0.3">
      <c r="A58" s="85">
        <v>2</v>
      </c>
      <c r="B58" s="85">
        <v>2</v>
      </c>
      <c r="C58" s="92">
        <v>1</v>
      </c>
      <c r="D58" s="85">
        <v>6</v>
      </c>
      <c r="E58" s="85"/>
      <c r="F58" s="104" t="s">
        <v>44</v>
      </c>
      <c r="G58" s="95">
        <f t="shared" ref="G58:L58" si="17">G59</f>
        <v>672000</v>
      </c>
      <c r="H58" s="117">
        <f t="shared" si="17"/>
        <v>50573.78</v>
      </c>
      <c r="I58" s="19" t="e">
        <f t="shared" si="17"/>
        <v>#REF!</v>
      </c>
      <c r="J58" s="117">
        <f t="shared" si="17"/>
        <v>56581.1</v>
      </c>
      <c r="K58" s="117">
        <f t="shared" si="17"/>
        <v>54560.62</v>
      </c>
      <c r="L58" s="117">
        <f t="shared" si="17"/>
        <v>57974.83</v>
      </c>
      <c r="M58" s="117">
        <f t="shared" ref="M58:R58" si="18">M59</f>
        <v>65612.62</v>
      </c>
      <c r="N58" s="117">
        <f t="shared" si="18"/>
        <v>63184.51</v>
      </c>
      <c r="O58" s="117">
        <f t="shared" si="18"/>
        <v>68014.23</v>
      </c>
      <c r="P58" s="117">
        <f t="shared" si="18"/>
        <v>71521.09</v>
      </c>
      <c r="Q58" s="117">
        <f t="shared" si="18"/>
        <v>488022.78</v>
      </c>
      <c r="R58" s="211">
        <f t="shared" si="18"/>
        <v>183977.21999999997</v>
      </c>
    </row>
    <row r="59" spans="1:18" ht="15.75" x14ac:dyDescent="0.25">
      <c r="A59" s="85">
        <v>2</v>
      </c>
      <c r="B59" s="85">
        <v>2</v>
      </c>
      <c r="C59" s="92">
        <v>1</v>
      </c>
      <c r="D59" s="85">
        <v>6</v>
      </c>
      <c r="E59" s="85">
        <v>1</v>
      </c>
      <c r="F59" s="99" t="s">
        <v>45</v>
      </c>
      <c r="G59" s="107">
        <v>672000</v>
      </c>
      <c r="H59" s="110">
        <v>50573.78</v>
      </c>
      <c r="I59" s="13" t="e">
        <f>+G59-#REF!</f>
        <v>#REF!</v>
      </c>
      <c r="J59" s="110">
        <v>56581.1</v>
      </c>
      <c r="K59" s="110">
        <v>54560.62</v>
      </c>
      <c r="L59" s="110">
        <v>57974.83</v>
      </c>
      <c r="M59" s="110">
        <v>65612.62</v>
      </c>
      <c r="N59" s="109">
        <v>63184.51</v>
      </c>
      <c r="O59" s="109">
        <v>68014.23</v>
      </c>
      <c r="P59" s="109">
        <v>71521.09</v>
      </c>
      <c r="Q59" s="182">
        <f>+H59+J59+K59+L59+M59+N59+O59+P59</f>
        <v>488022.78</v>
      </c>
      <c r="R59" s="208">
        <f>+G59-Q59</f>
        <v>183977.21999999997</v>
      </c>
    </row>
    <row r="60" spans="1:18" ht="15.75" x14ac:dyDescent="0.25">
      <c r="A60" s="85"/>
      <c r="B60" s="85"/>
      <c r="C60" s="92"/>
      <c r="D60" s="85"/>
      <c r="E60" s="85"/>
      <c r="F60" s="99"/>
      <c r="G60" s="108"/>
      <c r="H60" s="110"/>
      <c r="I60" s="12"/>
      <c r="J60" s="110"/>
      <c r="K60" s="110"/>
      <c r="L60" s="110"/>
      <c r="M60" s="110"/>
      <c r="N60" s="110"/>
      <c r="O60" s="110"/>
      <c r="P60" s="110"/>
      <c r="Q60" s="110"/>
      <c r="R60" s="207"/>
    </row>
    <row r="61" spans="1:18" ht="32.25" thickBot="1" x14ac:dyDescent="0.3">
      <c r="A61" s="85">
        <v>2</v>
      </c>
      <c r="B61" s="85">
        <v>2</v>
      </c>
      <c r="C61" s="92">
        <v>2</v>
      </c>
      <c r="D61" s="85"/>
      <c r="E61" s="85"/>
      <c r="F61" s="104" t="s">
        <v>46</v>
      </c>
      <c r="G61" s="95">
        <f>SUM(G62:G63)</f>
        <v>1275500</v>
      </c>
      <c r="H61" s="96">
        <f t="shared" ref="H61:R61" si="19">H62+H63</f>
        <v>0</v>
      </c>
      <c r="I61" s="20" t="e">
        <f t="shared" si="19"/>
        <v>#REF!</v>
      </c>
      <c r="J61" s="96">
        <f t="shared" si="19"/>
        <v>3325</v>
      </c>
      <c r="K61" s="96">
        <f t="shared" si="19"/>
        <v>7450</v>
      </c>
      <c r="L61" s="96">
        <f t="shared" si="19"/>
        <v>4760</v>
      </c>
      <c r="M61" s="96">
        <f t="shared" si="19"/>
        <v>0</v>
      </c>
      <c r="N61" s="105">
        <f t="shared" si="19"/>
        <v>165100</v>
      </c>
      <c r="O61" s="105">
        <f t="shared" si="19"/>
        <v>218610</v>
      </c>
      <c r="P61" s="105">
        <f t="shared" si="19"/>
        <v>10072</v>
      </c>
      <c r="Q61" s="105">
        <f t="shared" si="19"/>
        <v>409317</v>
      </c>
      <c r="R61" s="212">
        <f t="shared" si="19"/>
        <v>866183</v>
      </c>
    </row>
    <row r="62" spans="1:18" ht="15.75" x14ac:dyDescent="0.25">
      <c r="A62" s="85">
        <v>2</v>
      </c>
      <c r="B62" s="85">
        <v>2</v>
      </c>
      <c r="C62" s="92">
        <v>2</v>
      </c>
      <c r="D62" s="85">
        <v>1</v>
      </c>
      <c r="E62" s="85"/>
      <c r="F62" s="106" t="s">
        <v>47</v>
      </c>
      <c r="G62" s="107">
        <v>775500</v>
      </c>
      <c r="H62" s="109"/>
      <c r="I62" s="12" t="e">
        <f>+G62-#REF!</f>
        <v>#REF!</v>
      </c>
      <c r="J62" s="109">
        <v>3100</v>
      </c>
      <c r="K62" s="109">
        <v>3450</v>
      </c>
      <c r="L62" s="109">
        <v>0</v>
      </c>
      <c r="M62" s="109"/>
      <c r="N62" s="110">
        <v>165000</v>
      </c>
      <c r="O62" s="110"/>
      <c r="P62" s="110"/>
      <c r="Q62" s="103">
        <f>+H62+J62+K62+L62+M62+N62+O62+P62</f>
        <v>171550</v>
      </c>
      <c r="R62" s="207">
        <f>+G62-Q62</f>
        <v>603950</v>
      </c>
    </row>
    <row r="63" spans="1:18" ht="15.75" x14ac:dyDescent="0.25">
      <c r="A63" s="85">
        <v>2</v>
      </c>
      <c r="B63" s="85">
        <v>2</v>
      </c>
      <c r="C63" s="92">
        <v>2</v>
      </c>
      <c r="D63" s="85">
        <v>2</v>
      </c>
      <c r="E63" s="85"/>
      <c r="F63" s="106" t="s">
        <v>48</v>
      </c>
      <c r="G63" s="108">
        <v>500000</v>
      </c>
      <c r="H63" s="110"/>
      <c r="I63" s="12" t="e">
        <f>+G63-#REF!</f>
        <v>#REF!</v>
      </c>
      <c r="J63" s="110">
        <v>225</v>
      </c>
      <c r="K63" s="110">
        <v>4000</v>
      </c>
      <c r="L63" s="110">
        <v>4760</v>
      </c>
      <c r="M63" s="110"/>
      <c r="N63" s="110">
        <v>100</v>
      </c>
      <c r="O63" s="110">
        <v>218610</v>
      </c>
      <c r="P63" s="110">
        <v>10072</v>
      </c>
      <c r="Q63" s="103">
        <f>+H63+J63+K63+L63+M63+N63+O63+P63</f>
        <v>237767</v>
      </c>
      <c r="R63" s="207">
        <f>+G63-Q63</f>
        <v>262233</v>
      </c>
    </row>
    <row r="64" spans="1:18" ht="15.75" x14ac:dyDescent="0.25">
      <c r="A64" s="85"/>
      <c r="B64" s="85"/>
      <c r="C64" s="92"/>
      <c r="D64" s="85"/>
      <c r="E64" s="85"/>
      <c r="F64" s="99"/>
      <c r="G64" s="108"/>
      <c r="H64" s="110"/>
      <c r="I64" s="12"/>
      <c r="J64" s="110"/>
      <c r="K64" s="110"/>
      <c r="L64" s="110"/>
      <c r="M64" s="110"/>
      <c r="N64" s="110"/>
      <c r="O64" s="110"/>
      <c r="P64" s="110"/>
      <c r="Q64" s="110"/>
      <c r="R64" s="207"/>
    </row>
    <row r="65" spans="1:18" ht="16.5" thickBot="1" x14ac:dyDescent="0.3">
      <c r="A65" s="85">
        <v>2</v>
      </c>
      <c r="B65" s="85">
        <v>2</v>
      </c>
      <c r="C65" s="92">
        <v>3</v>
      </c>
      <c r="D65" s="85"/>
      <c r="E65" s="85"/>
      <c r="F65" s="104" t="s">
        <v>49</v>
      </c>
      <c r="G65" s="95">
        <f>G66+G67</f>
        <v>550000</v>
      </c>
      <c r="H65" s="105">
        <f>H66+H67</f>
        <v>0</v>
      </c>
      <c r="I65" s="10" t="e">
        <f>I66+I67</f>
        <v>#REF!</v>
      </c>
      <c r="J65" s="105">
        <f>J66+J67</f>
        <v>0</v>
      </c>
      <c r="K65" s="105">
        <f>K66+K67</f>
        <v>1600</v>
      </c>
      <c r="L65" s="105">
        <f t="shared" ref="L65:Q65" si="20">L66+L67</f>
        <v>90183.12</v>
      </c>
      <c r="M65" s="105">
        <f t="shared" si="20"/>
        <v>130003.2</v>
      </c>
      <c r="N65" s="105">
        <f t="shared" si="20"/>
        <v>0</v>
      </c>
      <c r="O65" s="105">
        <f t="shared" si="20"/>
        <v>3000</v>
      </c>
      <c r="P65" s="105">
        <f t="shared" si="20"/>
        <v>5000</v>
      </c>
      <c r="Q65" s="105">
        <f t="shared" si="20"/>
        <v>229786.32</v>
      </c>
      <c r="R65" s="206">
        <f>R66+R67</f>
        <v>320213.68</v>
      </c>
    </row>
    <row r="66" spans="1:18" ht="15.75" x14ac:dyDescent="0.25">
      <c r="A66" s="85">
        <v>2</v>
      </c>
      <c r="B66" s="85">
        <v>2</v>
      </c>
      <c r="C66" s="92">
        <v>3</v>
      </c>
      <c r="D66" s="85">
        <v>1</v>
      </c>
      <c r="E66" s="119"/>
      <c r="F66" s="106" t="s">
        <v>50</v>
      </c>
      <c r="G66" s="100"/>
      <c r="H66" s="101"/>
      <c r="I66" s="8" t="e">
        <f>+G66-#REF!</f>
        <v>#REF!</v>
      </c>
      <c r="J66" s="101"/>
      <c r="K66" s="109">
        <f>1000+300+300</f>
        <v>1600</v>
      </c>
      <c r="L66" s="109">
        <f>2000+500+1000+1000</f>
        <v>4500</v>
      </c>
      <c r="M66" s="109"/>
      <c r="N66" s="110"/>
      <c r="O66" s="110">
        <f>1500+1500</f>
        <v>3000</v>
      </c>
      <c r="P66" s="110">
        <f>2000+1000+2000</f>
        <v>5000</v>
      </c>
      <c r="Q66" s="103">
        <f>+H66+J66+K66+L66+M66+N66+O66+P66</f>
        <v>14100</v>
      </c>
      <c r="R66" s="204">
        <f>+G66-Q66</f>
        <v>-14100</v>
      </c>
    </row>
    <row r="67" spans="1:18" ht="15.75" x14ac:dyDescent="0.25">
      <c r="A67" s="85">
        <v>2</v>
      </c>
      <c r="B67" s="85">
        <v>2</v>
      </c>
      <c r="C67" s="92">
        <v>3</v>
      </c>
      <c r="D67" s="85">
        <v>2</v>
      </c>
      <c r="E67" s="119"/>
      <c r="F67" s="106" t="s">
        <v>51</v>
      </c>
      <c r="G67" s="108">
        <v>550000</v>
      </c>
      <c r="H67" s="110"/>
      <c r="I67" s="12" t="e">
        <f>+G67-#REF!</f>
        <v>#REF!</v>
      </c>
      <c r="J67" s="110"/>
      <c r="K67" s="110"/>
      <c r="L67" s="110">
        <v>85683.12</v>
      </c>
      <c r="M67" s="110">
        <v>130003.2</v>
      </c>
      <c r="N67" s="110"/>
      <c r="O67" s="110"/>
      <c r="P67" s="110"/>
      <c r="Q67" s="103">
        <f>+H67+J67+K67+L67+M67+N67+O67+P67</f>
        <v>215686.32</v>
      </c>
      <c r="R67" s="207">
        <f>+G67-Q67</f>
        <v>334313.68</v>
      </c>
    </row>
    <row r="68" spans="1:18" ht="15.75" x14ac:dyDescent="0.25">
      <c r="A68" s="85"/>
      <c r="B68" s="85"/>
      <c r="C68" s="92"/>
      <c r="D68" s="85"/>
      <c r="E68" s="85"/>
      <c r="F68" s="106"/>
      <c r="G68" s="108"/>
      <c r="H68" s="110"/>
      <c r="I68" s="12" t="e">
        <f>+G68-#REF!</f>
        <v>#REF!</v>
      </c>
      <c r="J68" s="110"/>
      <c r="K68" s="110"/>
      <c r="L68" s="110"/>
      <c r="M68" s="110"/>
      <c r="N68" s="110"/>
      <c r="O68" s="110"/>
      <c r="P68" s="110"/>
      <c r="Q68" s="110"/>
      <c r="R68" s="207">
        <f>+G68-Q68</f>
        <v>0</v>
      </c>
    </row>
    <row r="69" spans="1:18" ht="16.5" thickBot="1" x14ac:dyDescent="0.3">
      <c r="A69" s="85">
        <v>2</v>
      </c>
      <c r="B69" s="85">
        <v>2</v>
      </c>
      <c r="C69" s="92">
        <v>4</v>
      </c>
      <c r="D69" s="85"/>
      <c r="E69" s="85"/>
      <c r="F69" s="104" t="s">
        <v>52</v>
      </c>
      <c r="G69" s="95">
        <f>G70+G71</f>
        <v>280000</v>
      </c>
      <c r="H69" s="105">
        <f>H70+H71</f>
        <v>6910.99</v>
      </c>
      <c r="I69" s="10" t="e">
        <f>+G69-#REF!</f>
        <v>#REF!</v>
      </c>
      <c r="J69" s="105">
        <f>J70+J71</f>
        <v>1600</v>
      </c>
      <c r="K69" s="105">
        <f>K70+K71</f>
        <v>5688.34</v>
      </c>
      <c r="L69" s="105">
        <f t="shared" ref="L69:Q69" si="21">L70+L71</f>
        <v>17923.03</v>
      </c>
      <c r="M69" s="105">
        <f t="shared" si="21"/>
        <v>35708.619999999995</v>
      </c>
      <c r="N69" s="105">
        <f t="shared" si="21"/>
        <v>4330.1899999999996</v>
      </c>
      <c r="O69" s="105">
        <f t="shared" si="21"/>
        <v>16143.07</v>
      </c>
      <c r="P69" s="105">
        <f t="shared" si="21"/>
        <v>95416.75</v>
      </c>
      <c r="Q69" s="105">
        <f t="shared" si="21"/>
        <v>183720.99</v>
      </c>
      <c r="R69" s="206">
        <f>R70+R71+R72</f>
        <v>96279.010000000009</v>
      </c>
    </row>
    <row r="70" spans="1:18" ht="15.75" x14ac:dyDescent="0.25">
      <c r="A70" s="85">
        <v>2</v>
      </c>
      <c r="B70" s="85">
        <v>2</v>
      </c>
      <c r="C70" s="92">
        <v>4</v>
      </c>
      <c r="D70" s="85">
        <v>1</v>
      </c>
      <c r="E70" s="85"/>
      <c r="F70" s="106" t="s">
        <v>53</v>
      </c>
      <c r="G70" s="107">
        <v>280000</v>
      </c>
      <c r="H70" s="110">
        <f>780+6130.99</f>
        <v>6910.99</v>
      </c>
      <c r="I70" s="12" t="e">
        <f>+G70-#REF!</f>
        <v>#REF!</v>
      </c>
      <c r="J70" s="110">
        <f>200+100+100+200+300+200+200+300</f>
        <v>1600</v>
      </c>
      <c r="K70" s="110">
        <f>4338.34+100+100+100+100+100+100+200+50+100+100+100+100+100</f>
        <v>5688.34</v>
      </c>
      <c r="L70" s="110">
        <f>10037.83+100+100+100+7585.2</f>
        <v>17923.03</v>
      </c>
      <c r="M70" s="110">
        <f>26358.62+6850+300+500+300+500+700+200</f>
        <v>35708.619999999995</v>
      </c>
      <c r="N70" s="109">
        <f>4130.19+100+100</f>
        <v>4330.1899999999996</v>
      </c>
      <c r="O70" s="109">
        <f>650+700+700+600+700+530+100+100+100+100+100+100+11663.07</f>
        <v>16143.07</v>
      </c>
      <c r="P70" s="109">
        <f>13990.31+77141.53+313.72+600+600+200+100+100+296.19+325+550+100+100+100+100+100+700</f>
        <v>95416.75</v>
      </c>
      <c r="Q70" s="182">
        <f>+H70+J70+K70+L70+M70+N70+O70+P70</f>
        <v>183720.99</v>
      </c>
      <c r="R70" s="207">
        <f>+G70-Q70</f>
        <v>96279.010000000009</v>
      </c>
    </row>
    <row r="71" spans="1:18" ht="15.75" x14ac:dyDescent="0.25">
      <c r="A71" s="85">
        <v>2</v>
      </c>
      <c r="B71" s="85">
        <v>2</v>
      </c>
      <c r="C71" s="92">
        <v>4</v>
      </c>
      <c r="D71" s="85">
        <v>3</v>
      </c>
      <c r="E71" s="85"/>
      <c r="F71" s="106" t="s">
        <v>54</v>
      </c>
      <c r="G71" s="108"/>
      <c r="H71" s="110">
        <v>0</v>
      </c>
      <c r="I71" s="12" t="e">
        <f>+G71-#REF!</f>
        <v>#REF!</v>
      </c>
      <c r="J71" s="110">
        <v>0</v>
      </c>
      <c r="K71" s="110"/>
      <c r="L71" s="110"/>
      <c r="M71" s="110"/>
      <c r="N71" s="110"/>
      <c r="O71" s="110"/>
      <c r="P71" s="110"/>
      <c r="Q71" s="110">
        <f>+H71+J71+K71+L71+M71+N71+O71</f>
        <v>0</v>
      </c>
      <c r="R71" s="207">
        <f>+G71-Q71</f>
        <v>0</v>
      </c>
    </row>
    <row r="72" spans="1:18" ht="15.75" x14ac:dyDescent="0.25">
      <c r="A72" s="85"/>
      <c r="B72" s="85"/>
      <c r="C72" s="92"/>
      <c r="D72" s="85"/>
      <c r="E72" s="85"/>
      <c r="F72" s="106"/>
      <c r="G72" s="108"/>
      <c r="H72" s="110"/>
      <c r="I72" s="12" t="e">
        <f>+G72-#REF!</f>
        <v>#REF!</v>
      </c>
      <c r="J72" s="110"/>
      <c r="K72" s="110"/>
      <c r="L72" s="110"/>
      <c r="M72" s="110"/>
      <c r="N72" s="110"/>
      <c r="O72" s="110"/>
      <c r="P72" s="110"/>
      <c r="Q72" s="110"/>
      <c r="R72" s="207">
        <f>+G72-Q72</f>
        <v>0</v>
      </c>
    </row>
    <row r="73" spans="1:18" ht="16.5" thickBot="1" x14ac:dyDescent="0.3">
      <c r="A73" s="85">
        <v>2</v>
      </c>
      <c r="B73" s="85">
        <v>2</v>
      </c>
      <c r="C73" s="92">
        <v>5</v>
      </c>
      <c r="D73" s="85"/>
      <c r="E73" s="85"/>
      <c r="F73" s="104" t="s">
        <v>55</v>
      </c>
      <c r="G73" s="95">
        <f>G74+G79</f>
        <v>10004331</v>
      </c>
      <c r="H73" s="96">
        <f t="shared" ref="H73:R73" si="22">H76+H74</f>
        <v>792285.26</v>
      </c>
      <c r="I73" s="6" t="e">
        <f t="shared" si="22"/>
        <v>#REF!</v>
      </c>
      <c r="J73" s="96">
        <f t="shared" si="22"/>
        <v>801242.44</v>
      </c>
      <c r="K73" s="96">
        <f t="shared" si="22"/>
        <v>801396.64</v>
      </c>
      <c r="L73" s="96">
        <f t="shared" si="22"/>
        <v>806109.24</v>
      </c>
      <c r="M73" s="96">
        <f t="shared" si="22"/>
        <v>792121.59</v>
      </c>
      <c r="N73" s="105">
        <f t="shared" si="22"/>
        <v>806673.29</v>
      </c>
      <c r="O73" s="105">
        <f t="shared" si="22"/>
        <v>804889.16</v>
      </c>
      <c r="P73" s="105">
        <f t="shared" si="22"/>
        <v>810214.5</v>
      </c>
      <c r="Q73" s="105">
        <f t="shared" si="22"/>
        <v>6414932.1200000001</v>
      </c>
      <c r="R73" s="202">
        <f t="shared" si="22"/>
        <v>3589398.88</v>
      </c>
    </row>
    <row r="74" spans="1:18" ht="31.5" x14ac:dyDescent="0.25">
      <c r="A74" s="85">
        <v>2</v>
      </c>
      <c r="B74" s="85">
        <v>2</v>
      </c>
      <c r="C74" s="92">
        <v>5</v>
      </c>
      <c r="D74" s="85">
        <v>1</v>
      </c>
      <c r="E74" s="85"/>
      <c r="F74" s="99" t="s">
        <v>56</v>
      </c>
      <c r="G74" s="107">
        <v>9685383</v>
      </c>
      <c r="H74" s="109">
        <f>17098.97+766926.29</f>
        <v>784025.26</v>
      </c>
      <c r="I74" s="13" t="e">
        <f>+G74-#REF!</f>
        <v>#REF!</v>
      </c>
      <c r="J74" s="109">
        <f>17294.32+775688.12</f>
        <v>792982.44</v>
      </c>
      <c r="K74" s="109">
        <f>17297.68+775838.96</f>
        <v>793136.64000000001</v>
      </c>
      <c r="L74" s="109">
        <f>17400.46+780448.78</f>
        <v>797849.24</v>
      </c>
      <c r="M74" s="109">
        <f>766766.19+17095.4</f>
        <v>783861.59</v>
      </c>
      <c r="N74" s="110">
        <f>17412.76+781000.53</f>
        <v>798413.29</v>
      </c>
      <c r="O74" s="110">
        <f>779255.31+17373.85</f>
        <v>796629.16</v>
      </c>
      <c r="P74" s="110">
        <f>784464.51+17489.99</f>
        <v>801954.5</v>
      </c>
      <c r="Q74" s="103">
        <f>+H74+J74+K74+L74+M74+N74+O74+P74</f>
        <v>6348852.1200000001</v>
      </c>
      <c r="R74" s="208">
        <f>+G74-Q74</f>
        <v>3336530.88</v>
      </c>
    </row>
    <row r="75" spans="1:18" ht="15.75" x14ac:dyDescent="0.25">
      <c r="A75" s="85"/>
      <c r="B75" s="85"/>
      <c r="C75" s="92"/>
      <c r="D75" s="85"/>
      <c r="E75" s="119"/>
      <c r="F75" s="106"/>
      <c r="G75" s="108"/>
      <c r="H75" s="110"/>
      <c r="I75" s="12"/>
      <c r="J75" s="110"/>
      <c r="K75" s="110"/>
      <c r="L75" s="110"/>
      <c r="M75" s="110"/>
      <c r="N75" s="110"/>
      <c r="O75" s="110"/>
      <c r="P75" s="110"/>
      <c r="Q75" s="110"/>
      <c r="R75" s="207"/>
    </row>
    <row r="76" spans="1:18" ht="32.25" thickBot="1" x14ac:dyDescent="0.3">
      <c r="A76" s="85">
        <v>2</v>
      </c>
      <c r="B76" s="85">
        <v>2</v>
      </c>
      <c r="C76" s="92">
        <v>5</v>
      </c>
      <c r="D76" s="85">
        <v>3</v>
      </c>
      <c r="E76" s="93"/>
      <c r="F76" s="104" t="s">
        <v>57</v>
      </c>
      <c r="G76" s="95">
        <f t="shared" ref="G76:R76" si="23">G77+G78+G79</f>
        <v>318948</v>
      </c>
      <c r="H76" s="105">
        <f t="shared" si="23"/>
        <v>8260</v>
      </c>
      <c r="I76" s="10" t="e">
        <f t="shared" si="23"/>
        <v>#REF!</v>
      </c>
      <c r="J76" s="105">
        <f t="shared" si="23"/>
        <v>8260</v>
      </c>
      <c r="K76" s="105">
        <f t="shared" si="23"/>
        <v>8260</v>
      </c>
      <c r="L76" s="105">
        <f t="shared" si="23"/>
        <v>8260</v>
      </c>
      <c r="M76" s="105">
        <f>M77+M78+M79</f>
        <v>8260</v>
      </c>
      <c r="N76" s="105">
        <f>N77+N78+N79</f>
        <v>8260</v>
      </c>
      <c r="O76" s="105">
        <f>O77+O78+O79</f>
        <v>8260</v>
      </c>
      <c r="P76" s="105">
        <f>P77+P78+P79</f>
        <v>8260</v>
      </c>
      <c r="Q76" s="105">
        <f t="shared" si="23"/>
        <v>66080</v>
      </c>
      <c r="R76" s="206">
        <f t="shared" si="23"/>
        <v>252868</v>
      </c>
    </row>
    <row r="77" spans="1:18" ht="15.75" x14ac:dyDescent="0.25">
      <c r="A77" s="85">
        <v>2</v>
      </c>
      <c r="B77" s="85">
        <v>2</v>
      </c>
      <c r="C77" s="92">
        <v>5</v>
      </c>
      <c r="D77" s="85">
        <v>3</v>
      </c>
      <c r="E77" s="85">
        <v>2</v>
      </c>
      <c r="F77" s="99" t="s">
        <v>58</v>
      </c>
      <c r="G77" s="107"/>
      <c r="H77" s="110">
        <v>0</v>
      </c>
      <c r="I77" s="12" t="e">
        <f>+G77-#REF!</f>
        <v>#REF!</v>
      </c>
      <c r="J77" s="110">
        <v>0</v>
      </c>
      <c r="K77" s="110"/>
      <c r="L77" s="110"/>
      <c r="M77" s="110"/>
      <c r="N77" s="110"/>
      <c r="O77" s="110"/>
      <c r="P77" s="110"/>
      <c r="Q77" s="103">
        <f>+H77+J77+K77+L77+M77+N77+O77+P77</f>
        <v>0</v>
      </c>
      <c r="R77" s="207">
        <f>+G77-Q77</f>
        <v>0</v>
      </c>
    </row>
    <row r="78" spans="1:18" ht="31.5" x14ac:dyDescent="0.25">
      <c r="A78" s="85">
        <v>2</v>
      </c>
      <c r="B78" s="85">
        <v>2</v>
      </c>
      <c r="C78" s="92">
        <v>5</v>
      </c>
      <c r="D78" s="85">
        <v>3</v>
      </c>
      <c r="E78" s="85">
        <v>3</v>
      </c>
      <c r="F78" s="99" t="s">
        <v>59</v>
      </c>
      <c r="G78" s="108"/>
      <c r="H78" s="110"/>
      <c r="I78" s="12" t="e">
        <f>+G78-#REF!</f>
        <v>#REF!</v>
      </c>
      <c r="J78" s="110"/>
      <c r="K78" s="110"/>
      <c r="L78" s="110"/>
      <c r="M78" s="110"/>
      <c r="N78" s="110"/>
      <c r="O78" s="110"/>
      <c r="P78" s="110"/>
      <c r="Q78" s="103">
        <f>+H78+J78+K78+L78+M78+N78+O78+P78</f>
        <v>0</v>
      </c>
      <c r="R78" s="207">
        <f>+G78-Q78</f>
        <v>0</v>
      </c>
    </row>
    <row r="79" spans="1:18" ht="31.5" x14ac:dyDescent="0.25">
      <c r="A79" s="85">
        <v>2</v>
      </c>
      <c r="B79" s="85">
        <v>2</v>
      </c>
      <c r="C79" s="92">
        <v>5</v>
      </c>
      <c r="D79" s="85">
        <v>3</v>
      </c>
      <c r="E79" s="85">
        <v>4</v>
      </c>
      <c r="F79" s="99" t="s">
        <v>60</v>
      </c>
      <c r="G79" s="108">
        <v>318948</v>
      </c>
      <c r="H79" s="110">
        <v>8260</v>
      </c>
      <c r="I79" s="12" t="e">
        <f>+G79-#REF!</f>
        <v>#REF!</v>
      </c>
      <c r="J79" s="110">
        <v>8260</v>
      </c>
      <c r="K79" s="110">
        <v>8260</v>
      </c>
      <c r="L79" s="110">
        <v>8260</v>
      </c>
      <c r="M79" s="110">
        <v>8260</v>
      </c>
      <c r="N79" s="110">
        <v>8260</v>
      </c>
      <c r="O79" s="110">
        <v>8260</v>
      </c>
      <c r="P79" s="110">
        <v>8260</v>
      </c>
      <c r="Q79" s="103">
        <f>+H79+J79+K79+L79+M79+N79+O79+P79</f>
        <v>66080</v>
      </c>
      <c r="R79" s="207">
        <f>+G79-Q79</f>
        <v>252868</v>
      </c>
    </row>
    <row r="80" spans="1:18" ht="16.5" thickBot="1" x14ac:dyDescent="0.3">
      <c r="A80" s="85"/>
      <c r="B80" s="85"/>
      <c r="C80" s="92"/>
      <c r="D80" s="85"/>
      <c r="E80" s="85"/>
      <c r="F80" s="99"/>
      <c r="G80" s="108"/>
      <c r="H80" s="110"/>
      <c r="I80" s="12"/>
      <c r="J80" s="110"/>
      <c r="K80" s="110"/>
      <c r="L80" s="110"/>
      <c r="M80" s="110"/>
      <c r="N80" s="110"/>
      <c r="O80" s="110"/>
      <c r="P80" s="110"/>
      <c r="Q80" s="110"/>
      <c r="R80" s="207"/>
    </row>
    <row r="81" spans="1:18" s="21" customFormat="1" ht="16.5" thickBot="1" x14ac:dyDescent="0.3">
      <c r="A81" s="85">
        <v>2</v>
      </c>
      <c r="B81" s="85">
        <v>2</v>
      </c>
      <c r="C81" s="92">
        <v>6</v>
      </c>
      <c r="D81" s="85"/>
      <c r="E81" s="85"/>
      <c r="F81" s="99" t="s">
        <v>61</v>
      </c>
      <c r="G81" s="112">
        <f t="shared" ref="G81:R81" si="24">G83+G82</f>
        <v>1593000</v>
      </c>
      <c r="H81" s="113">
        <f t="shared" si="24"/>
        <v>108478.82</v>
      </c>
      <c r="I81" s="113" t="e">
        <f t="shared" si="24"/>
        <v>#REF!</v>
      </c>
      <c r="J81" s="113">
        <f t="shared" si="24"/>
        <v>108478.82</v>
      </c>
      <c r="K81" s="113">
        <f t="shared" si="24"/>
        <v>191755.74</v>
      </c>
      <c r="L81" s="113">
        <f t="shared" si="24"/>
        <v>229933.34000000003</v>
      </c>
      <c r="M81" s="113">
        <f t="shared" si="24"/>
        <v>125469</v>
      </c>
      <c r="N81" s="113">
        <f t="shared" si="24"/>
        <v>125468.75</v>
      </c>
      <c r="O81" s="113">
        <f t="shared" si="24"/>
        <v>125468.75</v>
      </c>
      <c r="P81" s="113">
        <f t="shared" si="24"/>
        <v>125468.75</v>
      </c>
      <c r="Q81" s="113">
        <f t="shared" si="24"/>
        <v>1140521.97</v>
      </c>
      <c r="R81" s="209">
        <f t="shared" si="24"/>
        <v>452478.03</v>
      </c>
    </row>
    <row r="82" spans="1:18" ht="16.5" thickBot="1" x14ac:dyDescent="0.3">
      <c r="A82" s="120">
        <v>2</v>
      </c>
      <c r="B82" s="120">
        <v>2</v>
      </c>
      <c r="C82" s="121">
        <v>6</v>
      </c>
      <c r="D82" s="120">
        <v>2</v>
      </c>
      <c r="E82" s="120">
        <v>1</v>
      </c>
      <c r="F82" s="122" t="s">
        <v>62</v>
      </c>
      <c r="G82" s="123">
        <v>93000</v>
      </c>
      <c r="H82" s="98"/>
      <c r="I82" s="16" t="e">
        <f>+G82-#REF!</f>
        <v>#REF!</v>
      </c>
      <c r="J82" s="98"/>
      <c r="K82" s="98"/>
      <c r="L82" s="98">
        <f>101556.1</f>
        <v>101556.1</v>
      </c>
      <c r="M82" s="98"/>
      <c r="N82" s="98"/>
      <c r="O82" s="98"/>
      <c r="P82" s="98"/>
      <c r="Q82" s="130">
        <f>+H82+J82+K82+L82+M82+N82+O82</f>
        <v>101556.1</v>
      </c>
      <c r="R82" s="210">
        <f>+G82-Q82</f>
        <v>-8556.1000000000058</v>
      </c>
    </row>
    <row r="83" spans="1:18" ht="15.75" x14ac:dyDescent="0.25">
      <c r="A83" s="85">
        <v>2</v>
      </c>
      <c r="B83" s="85">
        <v>2</v>
      </c>
      <c r="C83" s="92">
        <v>6</v>
      </c>
      <c r="D83" s="85">
        <v>3</v>
      </c>
      <c r="E83" s="85">
        <v>1</v>
      </c>
      <c r="F83" s="99" t="s">
        <v>63</v>
      </c>
      <c r="G83" s="108">
        <v>1500000</v>
      </c>
      <c r="H83" s="110">
        <v>108478.82</v>
      </c>
      <c r="I83" s="12" t="e">
        <f>+G83-#REF!</f>
        <v>#REF!</v>
      </c>
      <c r="J83" s="110">
        <v>108478.82</v>
      </c>
      <c r="K83" s="110">
        <f>113089.65+39242.96+23071.9+16351.23</f>
        <v>191755.74</v>
      </c>
      <c r="L83" s="110">
        <f>112025.61+16351.63</f>
        <v>128377.24</v>
      </c>
      <c r="M83" s="110">
        <v>125469</v>
      </c>
      <c r="N83" s="110">
        <v>125468.75</v>
      </c>
      <c r="O83" s="110">
        <v>125468.75</v>
      </c>
      <c r="P83" s="110">
        <v>125468.75</v>
      </c>
      <c r="Q83" s="103">
        <f>+H83+J83+K83+L83+M83+N83+O83+P83</f>
        <v>1038965.87</v>
      </c>
      <c r="R83" s="207">
        <f>+G83-Q83</f>
        <v>461034.13</v>
      </c>
    </row>
    <row r="84" spans="1:18" ht="15.75" x14ac:dyDescent="0.25">
      <c r="A84" s="85"/>
      <c r="B84" s="85"/>
      <c r="C84" s="92"/>
      <c r="D84" s="85"/>
      <c r="E84" s="85"/>
      <c r="F84" s="99"/>
      <c r="G84" s="108"/>
      <c r="H84" s="110">
        <v>0</v>
      </c>
      <c r="I84" s="12">
        <v>0</v>
      </c>
      <c r="J84" s="110">
        <v>0</v>
      </c>
      <c r="K84" s="110"/>
      <c r="L84" s="110"/>
      <c r="M84" s="110"/>
      <c r="N84" s="110"/>
      <c r="O84" s="110"/>
      <c r="P84" s="110"/>
      <c r="Q84" s="103">
        <f>+H84+J84+K84+L84+M84+N84+O84+P84</f>
        <v>0</v>
      </c>
      <c r="R84" s="207">
        <f>+G84-Q84</f>
        <v>0</v>
      </c>
    </row>
    <row r="85" spans="1:18" ht="48" thickBot="1" x14ac:dyDescent="0.3">
      <c r="A85" s="85">
        <v>2</v>
      </c>
      <c r="B85" s="85">
        <v>2</v>
      </c>
      <c r="C85" s="92">
        <v>7</v>
      </c>
      <c r="D85" s="85"/>
      <c r="E85" s="93"/>
      <c r="F85" s="104" t="s">
        <v>64</v>
      </c>
      <c r="G85" s="125">
        <f>G86</f>
        <v>282000</v>
      </c>
      <c r="H85" s="96">
        <f>SUM(H87:H91)</f>
        <v>19800.52</v>
      </c>
      <c r="I85" s="96" t="e">
        <f>SUM(I87:I91)</f>
        <v>#REF!</v>
      </c>
      <c r="J85" s="96">
        <f>SUM(J87:J91)</f>
        <v>650</v>
      </c>
      <c r="K85" s="96">
        <f>SUM(K87:K91)</f>
        <v>0</v>
      </c>
      <c r="L85" s="96">
        <f t="shared" ref="L85:Q85" si="25">SUM(L87:L91)</f>
        <v>4000</v>
      </c>
      <c r="M85" s="96">
        <f t="shared" si="25"/>
        <v>164125.1</v>
      </c>
      <c r="N85" s="96">
        <f t="shared" si="25"/>
        <v>9324.18</v>
      </c>
      <c r="O85" s="96">
        <f t="shared" si="25"/>
        <v>25214</v>
      </c>
      <c r="P85" s="96">
        <f t="shared" si="25"/>
        <v>1250</v>
      </c>
      <c r="Q85" s="96">
        <f t="shared" si="25"/>
        <v>224363.8</v>
      </c>
      <c r="R85" s="202">
        <f>SUM(R87:R92)</f>
        <v>57636.2</v>
      </c>
    </row>
    <row r="86" spans="1:18" ht="32.25" thickBot="1" x14ac:dyDescent="0.3">
      <c r="A86" s="85">
        <v>2</v>
      </c>
      <c r="B86" s="85">
        <v>2</v>
      </c>
      <c r="C86" s="92">
        <v>7</v>
      </c>
      <c r="D86" s="85">
        <v>2</v>
      </c>
      <c r="E86" s="93"/>
      <c r="F86" s="104" t="s">
        <v>65</v>
      </c>
      <c r="G86" s="112">
        <f>SUM(G88:G91)</f>
        <v>282000</v>
      </c>
      <c r="H86" s="166">
        <f>SUM(H87:H91)</f>
        <v>19800.52</v>
      </c>
      <c r="I86" s="166" t="e">
        <f>SUM(I87:I91)</f>
        <v>#REF!</v>
      </c>
      <c r="J86" s="166">
        <f>SUM(J87:J91)</f>
        <v>650</v>
      </c>
      <c r="K86" s="166">
        <f>SUM(K87:K91)</f>
        <v>0</v>
      </c>
      <c r="L86" s="166">
        <f>SUM(L87:L91)</f>
        <v>4000</v>
      </c>
      <c r="M86" s="166">
        <f t="shared" ref="M86:R86" si="26">SUM(M87:M91)</f>
        <v>164125.1</v>
      </c>
      <c r="N86" s="166">
        <f t="shared" si="26"/>
        <v>9324.18</v>
      </c>
      <c r="O86" s="166">
        <f t="shared" si="26"/>
        <v>25214</v>
      </c>
      <c r="P86" s="166">
        <f t="shared" si="26"/>
        <v>1250</v>
      </c>
      <c r="Q86" s="166">
        <f t="shared" si="26"/>
        <v>224363.8</v>
      </c>
      <c r="R86" s="213">
        <f t="shared" si="26"/>
        <v>57636.2</v>
      </c>
    </row>
    <row r="87" spans="1:18" ht="31.5" x14ac:dyDescent="0.25">
      <c r="A87" s="85">
        <v>2</v>
      </c>
      <c r="B87" s="85">
        <v>2</v>
      </c>
      <c r="C87" s="92">
        <v>7</v>
      </c>
      <c r="D87" s="85">
        <v>1</v>
      </c>
      <c r="E87" s="119">
        <v>2</v>
      </c>
      <c r="F87" s="126" t="s">
        <v>66</v>
      </c>
      <c r="G87" s="125"/>
      <c r="H87" s="167"/>
      <c r="I87" s="12" t="e">
        <f>+G87-#REF!</f>
        <v>#REF!</v>
      </c>
      <c r="J87" s="167"/>
      <c r="K87" s="167"/>
      <c r="L87" s="167">
        <f>2000+1500</f>
        <v>3500</v>
      </c>
      <c r="M87" s="167">
        <v>164125.1</v>
      </c>
      <c r="N87" s="168">
        <v>9324.18</v>
      </c>
      <c r="O87" s="168"/>
      <c r="P87" s="168"/>
      <c r="Q87" s="182">
        <f>+H87+J87+K87+L87+M87+N87+O87+P87</f>
        <v>176949.28</v>
      </c>
      <c r="R87" s="207">
        <f>+G87-Q87</f>
        <v>-176949.28</v>
      </c>
    </row>
    <row r="88" spans="1:18" ht="31.5" x14ac:dyDescent="0.25">
      <c r="A88" s="85">
        <v>2</v>
      </c>
      <c r="B88" s="85">
        <v>2</v>
      </c>
      <c r="C88" s="92">
        <v>7</v>
      </c>
      <c r="D88" s="85">
        <v>2</v>
      </c>
      <c r="E88" s="119">
        <v>2</v>
      </c>
      <c r="F88" s="126" t="s">
        <v>67</v>
      </c>
      <c r="G88" s="108">
        <v>40000</v>
      </c>
      <c r="H88" s="110">
        <v>0</v>
      </c>
      <c r="I88" s="12" t="e">
        <f>+G88-#REF!</f>
        <v>#REF!</v>
      </c>
      <c r="J88" s="110">
        <v>0</v>
      </c>
      <c r="K88" s="110"/>
      <c r="L88" s="110"/>
      <c r="M88" s="110"/>
      <c r="N88" s="110"/>
      <c r="O88" s="110">
        <v>23364</v>
      </c>
      <c r="P88" s="110"/>
      <c r="Q88" s="103">
        <f>+H88+J88+K88+L88+M88+N88+O88+P88</f>
        <v>23364</v>
      </c>
      <c r="R88" s="207">
        <f>+G88-Q88</f>
        <v>16636</v>
      </c>
    </row>
    <row r="89" spans="1:18" ht="31.5" x14ac:dyDescent="0.25">
      <c r="A89" s="85">
        <v>2</v>
      </c>
      <c r="B89" s="85">
        <v>2</v>
      </c>
      <c r="C89" s="92">
        <v>7</v>
      </c>
      <c r="D89" s="85">
        <v>2</v>
      </c>
      <c r="E89" s="119">
        <v>3</v>
      </c>
      <c r="F89" s="126" t="s">
        <v>68</v>
      </c>
      <c r="G89" s="108"/>
      <c r="H89" s="110">
        <f>G89*12</f>
        <v>0</v>
      </c>
      <c r="I89" s="12" t="e">
        <f>+G89-#REF!</f>
        <v>#REF!</v>
      </c>
      <c r="J89" s="110"/>
      <c r="K89" s="110"/>
      <c r="L89" s="110"/>
      <c r="M89" s="110"/>
      <c r="N89" s="110"/>
      <c r="O89" s="110"/>
      <c r="P89" s="110"/>
      <c r="Q89" s="103">
        <f>+H89+J89+K89+L89+M89+N89+O89+P89</f>
        <v>0</v>
      </c>
      <c r="R89" s="207">
        <f>+G89-Q89</f>
        <v>0</v>
      </c>
    </row>
    <row r="90" spans="1:18" ht="31.5" x14ac:dyDescent="0.25">
      <c r="A90" s="85">
        <v>2</v>
      </c>
      <c r="B90" s="85">
        <v>2</v>
      </c>
      <c r="C90" s="92">
        <v>7</v>
      </c>
      <c r="D90" s="85">
        <v>2</v>
      </c>
      <c r="E90" s="119">
        <v>4</v>
      </c>
      <c r="F90" s="126" t="s">
        <v>69</v>
      </c>
      <c r="G90" s="108">
        <v>92000</v>
      </c>
      <c r="H90" s="110"/>
      <c r="I90" s="12" t="e">
        <f>+G90-#REF!</f>
        <v>#REF!</v>
      </c>
      <c r="J90" s="110"/>
      <c r="K90" s="110"/>
      <c r="L90" s="110"/>
      <c r="M90" s="110"/>
      <c r="N90" s="110"/>
      <c r="O90" s="110"/>
      <c r="P90" s="110"/>
      <c r="Q90" s="103">
        <f>+H90+J90+K90+L90+M90+N90+O90+P90</f>
        <v>0</v>
      </c>
      <c r="R90" s="207">
        <f>+G90-Q90</f>
        <v>92000</v>
      </c>
    </row>
    <row r="91" spans="1:18" ht="47.25" x14ac:dyDescent="0.25">
      <c r="A91" s="85">
        <v>2</v>
      </c>
      <c r="B91" s="85">
        <v>2</v>
      </c>
      <c r="C91" s="92">
        <v>7</v>
      </c>
      <c r="D91" s="85">
        <v>2</v>
      </c>
      <c r="E91" s="119">
        <v>6</v>
      </c>
      <c r="F91" s="126" t="s">
        <v>70</v>
      </c>
      <c r="G91" s="108">
        <v>150000</v>
      </c>
      <c r="H91" s="110">
        <f>9670.1+9530.42+600</f>
        <v>19800.52</v>
      </c>
      <c r="I91" s="12" t="e">
        <f>+G91-#REF!</f>
        <v>#REF!</v>
      </c>
      <c r="J91" s="110">
        <v>650</v>
      </c>
      <c r="K91" s="110"/>
      <c r="L91" s="110">
        <v>500</v>
      </c>
      <c r="M91" s="167"/>
      <c r="N91" s="167"/>
      <c r="O91" s="124">
        <f>600+600+650</f>
        <v>1850</v>
      </c>
      <c r="P91" s="167">
        <f>100+550+600</f>
        <v>1250</v>
      </c>
      <c r="Q91" s="103">
        <f>+H91+J91+K91+L91+M91+N91+O91+P91</f>
        <v>24050.52</v>
      </c>
      <c r="R91" s="207">
        <f>+G91-Q91</f>
        <v>125949.48</v>
      </c>
    </row>
    <row r="92" spans="1:18" ht="15.75" x14ac:dyDescent="0.25">
      <c r="A92" s="85"/>
      <c r="B92" s="85"/>
      <c r="C92" s="92"/>
      <c r="D92" s="85"/>
      <c r="E92" s="119"/>
      <c r="F92" s="106"/>
      <c r="G92" s="108"/>
      <c r="H92" s="110"/>
      <c r="I92" s="12"/>
      <c r="J92" s="110"/>
      <c r="K92" s="110"/>
      <c r="L92" s="110"/>
      <c r="M92" s="110"/>
      <c r="N92" s="110"/>
      <c r="O92" s="110"/>
      <c r="P92" s="110"/>
      <c r="Q92" s="110"/>
      <c r="R92" s="207"/>
    </row>
    <row r="93" spans="1:18" ht="16.5" thickBot="1" x14ac:dyDescent="0.3">
      <c r="A93" s="85">
        <v>2</v>
      </c>
      <c r="B93" s="85">
        <v>2</v>
      </c>
      <c r="C93" s="92">
        <v>8</v>
      </c>
      <c r="D93" s="85"/>
      <c r="E93" s="93"/>
      <c r="F93" s="104" t="s">
        <v>71</v>
      </c>
      <c r="G93" s="125">
        <f>SUM(G94+G95)+G97+G101</f>
        <v>10387302</v>
      </c>
      <c r="H93" s="96">
        <f>H94+H95+H97+H101</f>
        <v>256177.13999999998</v>
      </c>
      <c r="I93" s="6" t="e">
        <f t="shared" ref="I93:R93" si="27">I94+I95+I97+I101</f>
        <v>#REF!</v>
      </c>
      <c r="J93" s="96">
        <f t="shared" si="27"/>
        <v>436592.42</v>
      </c>
      <c r="K93" s="96">
        <f t="shared" si="27"/>
        <v>418896.86999999994</v>
      </c>
      <c r="L93" s="96">
        <f t="shared" si="27"/>
        <v>742049.15</v>
      </c>
      <c r="M93" s="96">
        <f t="shared" si="27"/>
        <v>558299.6</v>
      </c>
      <c r="N93" s="105">
        <f t="shared" si="27"/>
        <v>541933.75000000012</v>
      </c>
      <c r="O93" s="105">
        <f t="shared" si="27"/>
        <v>549163.19999999995</v>
      </c>
      <c r="P93" s="105">
        <f t="shared" si="27"/>
        <v>392446.31</v>
      </c>
      <c r="Q93" s="105">
        <f t="shared" si="27"/>
        <v>3895558.4399999995</v>
      </c>
      <c r="R93" s="202">
        <f t="shared" si="27"/>
        <v>6491743.5599999987</v>
      </c>
    </row>
    <row r="94" spans="1:18" ht="15.75" x14ac:dyDescent="0.25">
      <c r="A94" s="85">
        <v>2</v>
      </c>
      <c r="B94" s="85">
        <v>2</v>
      </c>
      <c r="C94" s="92">
        <v>8</v>
      </c>
      <c r="D94" s="85">
        <v>2</v>
      </c>
      <c r="E94" s="119"/>
      <c r="F94" s="127" t="s">
        <v>72</v>
      </c>
      <c r="G94" s="107">
        <v>102000</v>
      </c>
      <c r="H94" s="109">
        <v>5155.28</v>
      </c>
      <c r="I94" s="13" t="e">
        <f>+G94-#REF!</f>
        <v>#REF!</v>
      </c>
      <c r="J94" s="109">
        <v>4982.54</v>
      </c>
      <c r="K94" s="109">
        <v>5146.79</v>
      </c>
      <c r="L94" s="109">
        <v>6349.16</v>
      </c>
      <c r="M94" s="109">
        <v>6493.55</v>
      </c>
      <c r="N94" s="110">
        <v>10422.81</v>
      </c>
      <c r="O94" s="110">
        <f>120+6385.2</f>
        <v>6505.2</v>
      </c>
      <c r="P94" s="110">
        <f>120+7402.11</f>
        <v>7522.11</v>
      </c>
      <c r="Q94" s="103">
        <f>+H94+J94+K94+L94+M94+N94+O94+P94</f>
        <v>52577.439999999995</v>
      </c>
      <c r="R94" s="208">
        <f>+G94-Q94</f>
        <v>49422.560000000005</v>
      </c>
    </row>
    <row r="95" spans="1:18" ht="31.5" x14ac:dyDescent="0.25">
      <c r="A95" s="85">
        <v>2</v>
      </c>
      <c r="B95" s="85">
        <v>2</v>
      </c>
      <c r="C95" s="92">
        <v>8</v>
      </c>
      <c r="D95" s="85">
        <v>4</v>
      </c>
      <c r="E95" s="85"/>
      <c r="F95" s="127" t="s">
        <v>73</v>
      </c>
      <c r="G95" s="108">
        <v>0</v>
      </c>
      <c r="H95" s="110">
        <v>0</v>
      </c>
      <c r="I95" s="12">
        <v>0</v>
      </c>
      <c r="J95" s="110">
        <v>0</v>
      </c>
      <c r="K95" s="110"/>
      <c r="L95" s="110">
        <v>11800</v>
      </c>
      <c r="M95" s="110"/>
      <c r="N95" s="110"/>
      <c r="O95" s="110"/>
      <c r="P95" s="110"/>
      <c r="Q95" s="103">
        <f>+H95+J95+K95+L95+M95+N95+O95+P95</f>
        <v>11800</v>
      </c>
      <c r="R95" s="207">
        <f>+G95-Q95</f>
        <v>-11800</v>
      </c>
    </row>
    <row r="96" spans="1:18" ht="15.75" x14ac:dyDescent="0.25">
      <c r="A96" s="85"/>
      <c r="B96" s="85"/>
      <c r="C96" s="92"/>
      <c r="D96" s="85"/>
      <c r="E96" s="85"/>
      <c r="F96" s="127"/>
      <c r="G96" s="108"/>
      <c r="H96" s="110"/>
      <c r="I96" s="12"/>
      <c r="J96" s="110"/>
      <c r="K96" s="110"/>
      <c r="L96" s="110"/>
      <c r="M96" s="110"/>
      <c r="N96" s="110"/>
      <c r="O96" s="110"/>
      <c r="P96" s="110"/>
      <c r="Q96" s="110"/>
      <c r="R96" s="207"/>
    </row>
    <row r="97" spans="1:18" ht="32.25" thickBot="1" x14ac:dyDescent="0.3">
      <c r="A97" s="85">
        <v>2</v>
      </c>
      <c r="B97" s="85">
        <v>2</v>
      </c>
      <c r="C97" s="92">
        <v>8</v>
      </c>
      <c r="D97" s="85">
        <v>6</v>
      </c>
      <c r="E97" s="93"/>
      <c r="F97" s="128" t="s">
        <v>74</v>
      </c>
      <c r="G97" s="125">
        <f t="shared" ref="G97:R97" si="28">G98+G99</f>
        <v>4547575</v>
      </c>
      <c r="H97" s="117">
        <f t="shared" si="28"/>
        <v>0</v>
      </c>
      <c r="I97" s="19" t="e">
        <f t="shared" si="28"/>
        <v>#REF!</v>
      </c>
      <c r="J97" s="117">
        <f t="shared" si="28"/>
        <v>0</v>
      </c>
      <c r="K97" s="117">
        <f t="shared" si="28"/>
        <v>0</v>
      </c>
      <c r="L97" s="117">
        <f t="shared" si="28"/>
        <v>2555</v>
      </c>
      <c r="M97" s="117">
        <f t="shared" si="28"/>
        <v>20746.650000000001</v>
      </c>
      <c r="N97" s="117">
        <f t="shared" si="28"/>
        <v>0</v>
      </c>
      <c r="O97" s="117">
        <f t="shared" si="28"/>
        <v>30550</v>
      </c>
      <c r="P97" s="117">
        <f t="shared" si="28"/>
        <v>0</v>
      </c>
      <c r="Q97" s="117">
        <f t="shared" si="28"/>
        <v>53851.65</v>
      </c>
      <c r="R97" s="211">
        <f t="shared" si="28"/>
        <v>4493723.3499999996</v>
      </c>
    </row>
    <row r="98" spans="1:18" ht="15.75" x14ac:dyDescent="0.25">
      <c r="A98" s="85">
        <v>2</v>
      </c>
      <c r="B98" s="85">
        <v>2</v>
      </c>
      <c r="C98" s="92">
        <v>8</v>
      </c>
      <c r="D98" s="85">
        <v>6</v>
      </c>
      <c r="E98" s="85">
        <v>1</v>
      </c>
      <c r="F98" s="127" t="s">
        <v>75</v>
      </c>
      <c r="G98" s="236">
        <f>4472000-74425</f>
        <v>4397575</v>
      </c>
      <c r="H98" s="109">
        <v>0</v>
      </c>
      <c r="I98" s="12" t="e">
        <f>+G98-#REF!</f>
        <v>#REF!</v>
      </c>
      <c r="J98" s="109">
        <v>0</v>
      </c>
      <c r="K98" s="109"/>
      <c r="L98" s="109"/>
      <c r="M98" s="109"/>
      <c r="N98" s="110"/>
      <c r="O98" s="110"/>
      <c r="P98" s="110"/>
      <c r="Q98" s="103">
        <f>+H98+J98+K98+L98+M98+N98+O98+P98</f>
        <v>0</v>
      </c>
      <c r="R98" s="207">
        <f>+G98-Q98</f>
        <v>4397575</v>
      </c>
    </row>
    <row r="99" spans="1:18" ht="15.75" x14ac:dyDescent="0.25">
      <c r="A99" s="85">
        <v>2</v>
      </c>
      <c r="B99" s="85">
        <v>2</v>
      </c>
      <c r="C99" s="92">
        <v>8</v>
      </c>
      <c r="D99" s="85">
        <v>6</v>
      </c>
      <c r="E99" s="85">
        <v>2</v>
      </c>
      <c r="F99" s="127" t="s">
        <v>76</v>
      </c>
      <c r="G99" s="108">
        <v>150000</v>
      </c>
      <c r="H99" s="110"/>
      <c r="I99" s="12" t="e">
        <f>+G99-#REF!</f>
        <v>#REF!</v>
      </c>
      <c r="J99" s="110"/>
      <c r="K99" s="110"/>
      <c r="L99" s="110">
        <f>2175+380</f>
        <v>2555</v>
      </c>
      <c r="M99" s="110">
        <f>15620+529.95+1644.7+120+2832</f>
        <v>20746.650000000001</v>
      </c>
      <c r="N99" s="110"/>
      <c r="O99" s="110">
        <f>25900+400+4250</f>
        <v>30550</v>
      </c>
      <c r="P99" s="110"/>
      <c r="Q99" s="103">
        <f>+H99+J99+K99+L99+M99+N99+O99+P99</f>
        <v>53851.65</v>
      </c>
      <c r="R99" s="207">
        <f>+G99-Q99</f>
        <v>96148.35</v>
      </c>
    </row>
    <row r="100" spans="1:18" ht="15.75" x14ac:dyDescent="0.25">
      <c r="A100" s="85"/>
      <c r="B100" s="85"/>
      <c r="C100" s="92"/>
      <c r="D100" s="85"/>
      <c r="E100" s="85"/>
      <c r="F100" s="127"/>
      <c r="G100" s="108"/>
      <c r="H100" s="110">
        <v>0</v>
      </c>
      <c r="I100" s="12">
        <v>0</v>
      </c>
      <c r="J100" s="110">
        <v>0</v>
      </c>
      <c r="K100" s="110"/>
      <c r="L100" s="110"/>
      <c r="M100" s="110"/>
      <c r="N100" s="110"/>
      <c r="O100" s="110"/>
      <c r="P100" s="110"/>
      <c r="Q100" s="110"/>
      <c r="R100" s="207"/>
    </row>
    <row r="101" spans="1:18" ht="32.25" thickBot="1" x14ac:dyDescent="0.3">
      <c r="A101" s="85">
        <v>2</v>
      </c>
      <c r="B101" s="85">
        <v>2</v>
      </c>
      <c r="C101" s="92">
        <v>8</v>
      </c>
      <c r="D101" s="85">
        <v>7</v>
      </c>
      <c r="E101" s="93"/>
      <c r="F101" s="128" t="s">
        <v>77</v>
      </c>
      <c r="G101" s="129">
        <f t="shared" ref="G101:R101" si="29">G102+G103+G104+G105+G106</f>
        <v>5737727</v>
      </c>
      <c r="H101" s="118">
        <f t="shared" si="29"/>
        <v>251021.86</v>
      </c>
      <c r="I101" s="6" t="e">
        <f t="shared" si="29"/>
        <v>#REF!</v>
      </c>
      <c r="J101" s="118">
        <f t="shared" si="29"/>
        <v>431609.88</v>
      </c>
      <c r="K101" s="118">
        <f t="shared" si="29"/>
        <v>413750.07999999996</v>
      </c>
      <c r="L101" s="118">
        <f>L102+L103+L104+L105+L106</f>
        <v>721344.99</v>
      </c>
      <c r="M101" s="118">
        <f>M102+M103+M104+M105+M106</f>
        <v>531059.4</v>
      </c>
      <c r="N101" s="118">
        <f>N102+N103+N104+N105+N106</f>
        <v>531510.94000000006</v>
      </c>
      <c r="O101" s="118">
        <f>O102+O103+O104+O105+O106</f>
        <v>512108</v>
      </c>
      <c r="P101" s="118">
        <f>P102+P103+P104+P105+P106</f>
        <v>384924.2</v>
      </c>
      <c r="Q101" s="118">
        <f t="shared" si="29"/>
        <v>3777329.3499999996</v>
      </c>
      <c r="R101" s="202">
        <f t="shared" si="29"/>
        <v>1960397.65</v>
      </c>
    </row>
    <row r="102" spans="1:18" ht="31.5" x14ac:dyDescent="0.25">
      <c r="A102" s="85">
        <v>2</v>
      </c>
      <c r="B102" s="85">
        <v>2</v>
      </c>
      <c r="C102" s="92">
        <v>8</v>
      </c>
      <c r="D102" s="85">
        <v>7</v>
      </c>
      <c r="E102" s="85">
        <v>1</v>
      </c>
      <c r="F102" s="106" t="s">
        <v>78</v>
      </c>
      <c r="G102" s="108">
        <f>1800000-69423</f>
        <v>1730577</v>
      </c>
      <c r="H102" s="110">
        <v>0</v>
      </c>
      <c r="I102" s="13" t="e">
        <f>+G102-#REF!</f>
        <v>#REF!</v>
      </c>
      <c r="J102" s="110">
        <v>0</v>
      </c>
      <c r="K102" s="110"/>
      <c r="L102" s="110"/>
      <c r="M102" s="110"/>
      <c r="N102" s="110"/>
      <c r="O102" s="110"/>
      <c r="P102" s="110"/>
      <c r="Q102" s="103">
        <f>+H102+J102+K102+L102+M102+N102+O102+P102</f>
        <v>0</v>
      </c>
      <c r="R102" s="208">
        <f>+G102-Q102</f>
        <v>1730577</v>
      </c>
    </row>
    <row r="103" spans="1:18" ht="31.5" x14ac:dyDescent="0.25">
      <c r="A103" s="85">
        <v>2</v>
      </c>
      <c r="B103" s="85">
        <v>2</v>
      </c>
      <c r="C103" s="92">
        <v>8</v>
      </c>
      <c r="D103" s="85">
        <v>7</v>
      </c>
      <c r="E103" s="119">
        <v>3</v>
      </c>
      <c r="F103" s="106" t="s">
        <v>79</v>
      </c>
      <c r="G103" s="108">
        <v>300000</v>
      </c>
      <c r="H103" s="110"/>
      <c r="I103" s="24" t="e">
        <f>+G103-#REF!</f>
        <v>#REF!</v>
      </c>
      <c r="J103" s="110"/>
      <c r="K103" s="110">
        <v>48000</v>
      </c>
      <c r="L103" s="110"/>
      <c r="M103" s="110">
        <v>192000</v>
      </c>
      <c r="N103" s="110"/>
      <c r="O103" s="110"/>
      <c r="P103" s="110"/>
      <c r="Q103" s="103">
        <f>+H103+J103+K103+L103+M103+N103+O103+P103</f>
        <v>240000</v>
      </c>
      <c r="R103" s="214">
        <f>+G103-Q103</f>
        <v>60000</v>
      </c>
    </row>
    <row r="104" spans="1:18" ht="15.75" x14ac:dyDescent="0.25">
      <c r="A104" s="85">
        <v>2</v>
      </c>
      <c r="B104" s="85">
        <v>2</v>
      </c>
      <c r="C104" s="92">
        <v>8</v>
      </c>
      <c r="D104" s="85">
        <v>7</v>
      </c>
      <c r="E104" s="85">
        <v>4</v>
      </c>
      <c r="F104" s="106" t="s">
        <v>80</v>
      </c>
      <c r="G104" s="108">
        <v>225000</v>
      </c>
      <c r="H104" s="110">
        <v>10000</v>
      </c>
      <c r="I104" s="24" t="e">
        <f>+G104-#REF!</f>
        <v>#REF!</v>
      </c>
      <c r="J104" s="110"/>
      <c r="K104" s="110">
        <v>5000</v>
      </c>
      <c r="L104" s="110">
        <v>16640</v>
      </c>
      <c r="M104" s="110">
        <v>11700</v>
      </c>
      <c r="N104" s="110"/>
      <c r="O104" s="110"/>
      <c r="P104" s="110">
        <v>14800</v>
      </c>
      <c r="Q104" s="103">
        <f>+H104+J104+K104+L104+M104+N104+O104+P104</f>
        <v>58140</v>
      </c>
      <c r="R104" s="214">
        <f>+G104-Q104</f>
        <v>166860</v>
      </c>
    </row>
    <row r="105" spans="1:18" ht="31.5" x14ac:dyDescent="0.25">
      <c r="A105" s="85">
        <v>2</v>
      </c>
      <c r="B105" s="85">
        <v>2</v>
      </c>
      <c r="C105" s="92">
        <v>8</v>
      </c>
      <c r="D105" s="85">
        <v>7</v>
      </c>
      <c r="E105" s="85">
        <v>5</v>
      </c>
      <c r="F105" s="106" t="s">
        <v>81</v>
      </c>
      <c r="G105" s="108">
        <v>494750</v>
      </c>
      <c r="H105" s="110">
        <v>3233.36</v>
      </c>
      <c r="I105" s="24" t="e">
        <f>+G105-#REF!</f>
        <v>#REF!</v>
      </c>
      <c r="J105" s="110"/>
      <c r="K105" s="110">
        <v>5655.28</v>
      </c>
      <c r="L105" s="110">
        <v>51829.599999999999</v>
      </c>
      <c r="M105" s="110">
        <v>4770.8999999999996</v>
      </c>
      <c r="N105" s="110">
        <v>4811.3999999999996</v>
      </c>
      <c r="O105" s="110">
        <f>4819.5</f>
        <v>4819.5</v>
      </c>
      <c r="P105" s="110">
        <v>4835.7</v>
      </c>
      <c r="Q105" s="103">
        <f>+H105+J105+K105+L105+M105+N105+O105+P105</f>
        <v>79955.739999999991</v>
      </c>
      <c r="R105" s="214">
        <f>+G105-Q105</f>
        <v>414794.26</v>
      </c>
    </row>
    <row r="106" spans="1:18" ht="31.5" x14ac:dyDescent="0.25">
      <c r="A106" s="85">
        <v>2</v>
      </c>
      <c r="B106" s="85">
        <v>2</v>
      </c>
      <c r="C106" s="92">
        <v>8</v>
      </c>
      <c r="D106" s="85">
        <v>7</v>
      </c>
      <c r="E106" s="85">
        <v>6</v>
      </c>
      <c r="F106" s="106" t="s">
        <v>82</v>
      </c>
      <c r="G106" s="108">
        <v>2987400</v>
      </c>
      <c r="H106" s="110">
        <f>38200+11800+43563+144225.5</f>
        <v>237788.5</v>
      </c>
      <c r="I106" s="24" t="e">
        <f>+G106-#REF!</f>
        <v>#REF!</v>
      </c>
      <c r="J106" s="110">
        <f>12000+21240+177541.38+11800+144225.5+43563+21240</f>
        <v>431609.88</v>
      </c>
      <c r="K106" s="110">
        <f>10620+26886.3+118000+11800+144225.5+43563</f>
        <v>355094.8</v>
      </c>
      <c r="L106" s="110">
        <f>29500+110963.37+6608+42480+90935.52+144225.5+11800+118000+43563+54800</f>
        <v>652875.39</v>
      </c>
      <c r="M106" s="110">
        <f>5000+43563+144225.5+118000+11800</f>
        <v>322588.5</v>
      </c>
      <c r="N106" s="110">
        <f>11800+118000+43563+5000+181871.04+144225.5+1000+21240</f>
        <v>526699.54</v>
      </c>
      <c r="O106" s="110">
        <f>31350+14750+144225.5+11800+118000+1000+1000+43563+141600</f>
        <v>507288.5</v>
      </c>
      <c r="P106" s="110">
        <f>8250+6750+10500+8000+13000+43563+144225.5+300+300+300+300+118000+11800</f>
        <v>365288.5</v>
      </c>
      <c r="Q106" s="103">
        <f>+H106+J106+K106+L106+M106+N106+O106+P106</f>
        <v>3399233.61</v>
      </c>
      <c r="R106" s="214">
        <f>+G106-Q106</f>
        <v>-411833.60999999987</v>
      </c>
    </row>
    <row r="107" spans="1:18" ht="16.5" thickBot="1" x14ac:dyDescent="0.3">
      <c r="A107" s="85"/>
      <c r="B107" s="85"/>
      <c r="C107" s="92"/>
      <c r="D107" s="85"/>
      <c r="E107" s="85"/>
      <c r="F107" s="106"/>
      <c r="G107" s="111"/>
      <c r="H107" s="117"/>
      <c r="I107" s="19"/>
      <c r="J107" s="117"/>
      <c r="K107" s="117"/>
      <c r="L107" s="117"/>
      <c r="M107" s="117"/>
      <c r="N107" s="117"/>
      <c r="O107" s="117"/>
      <c r="P107" s="117"/>
      <c r="Q107" s="117"/>
      <c r="R107" s="211"/>
    </row>
    <row r="108" spans="1:18" ht="32.25" thickBot="1" x14ac:dyDescent="0.3">
      <c r="A108" s="85">
        <v>2</v>
      </c>
      <c r="B108" s="85">
        <v>2</v>
      </c>
      <c r="C108" s="92">
        <v>9</v>
      </c>
      <c r="D108" s="85"/>
      <c r="E108" s="85"/>
      <c r="F108" s="104" t="s">
        <v>83</v>
      </c>
      <c r="G108" s="100">
        <f>G109+G110</f>
        <v>385000</v>
      </c>
      <c r="H108" s="168">
        <f t="shared" ref="H108:R108" si="30">H109+H110</f>
        <v>33893.49</v>
      </c>
      <c r="I108" s="25" t="e">
        <f t="shared" si="30"/>
        <v>#REF!</v>
      </c>
      <c r="J108" s="168">
        <f t="shared" si="30"/>
        <v>47097.1</v>
      </c>
      <c r="K108" s="168">
        <f t="shared" si="30"/>
        <v>15197.85</v>
      </c>
      <c r="L108" s="168">
        <f t="shared" ref="L108:Q108" si="31">L109+L110</f>
        <v>103340.88</v>
      </c>
      <c r="M108" s="168">
        <f t="shared" si="31"/>
        <v>5899.8</v>
      </c>
      <c r="N108" s="168">
        <f t="shared" si="31"/>
        <v>87945</v>
      </c>
      <c r="O108" s="168">
        <f t="shared" si="31"/>
        <v>11356</v>
      </c>
      <c r="P108" s="168">
        <f t="shared" si="31"/>
        <v>8297.65</v>
      </c>
      <c r="Q108" s="168">
        <f t="shared" si="31"/>
        <v>313027.77</v>
      </c>
      <c r="R108" s="215">
        <f t="shared" si="30"/>
        <v>71972.229999999981</v>
      </c>
    </row>
    <row r="109" spans="1:18" ht="16.5" thickBot="1" x14ac:dyDescent="0.3">
      <c r="A109" s="85">
        <v>2</v>
      </c>
      <c r="B109" s="85">
        <v>2</v>
      </c>
      <c r="C109" s="92">
        <v>9</v>
      </c>
      <c r="D109" s="85">
        <v>2</v>
      </c>
      <c r="E109" s="85"/>
      <c r="F109" s="127" t="s">
        <v>84</v>
      </c>
      <c r="G109" s="97"/>
      <c r="H109" s="130"/>
      <c r="I109" s="26" t="e">
        <f>+G109-#REF!</f>
        <v>#REF!</v>
      </c>
      <c r="J109" s="130"/>
      <c r="K109" s="130"/>
      <c r="L109" s="130"/>
      <c r="M109" s="130"/>
      <c r="N109" s="130"/>
      <c r="O109" s="130"/>
      <c r="P109" s="130"/>
      <c r="Q109" s="130"/>
      <c r="R109" s="216"/>
    </row>
    <row r="110" spans="1:18" ht="15.75" x14ac:dyDescent="0.25">
      <c r="A110" s="85">
        <v>2</v>
      </c>
      <c r="B110" s="85">
        <v>2</v>
      </c>
      <c r="C110" s="92">
        <v>9</v>
      </c>
      <c r="D110" s="85">
        <v>2</v>
      </c>
      <c r="E110" s="85">
        <v>1</v>
      </c>
      <c r="F110" s="106" t="s">
        <v>84</v>
      </c>
      <c r="G110" s="108">
        <v>385000</v>
      </c>
      <c r="H110" s="110">
        <f>2066.99+300+175+300+275+175+300+300+30001.5</f>
        <v>33893.49</v>
      </c>
      <c r="I110" s="12" t="e">
        <f>+G110-#REF!</f>
        <v>#REF!</v>
      </c>
      <c r="J110" s="110">
        <f>300+175+145+791.7+400+470+750+475+400+100+265+12823.9+30001.5</f>
        <v>47097.1</v>
      </c>
      <c r="K110" s="110">
        <f>3872+8791+375+245+300+759.85+300+80+475</f>
        <v>15197.85</v>
      </c>
      <c r="L110" s="110">
        <f>9513.6+315+400+315+175+315+1087.28+315+350+385+89680+315+175</f>
        <v>103340.88</v>
      </c>
      <c r="M110" s="110">
        <f>639.8+175+315+310+300+485+475+300+2900</f>
        <v>5899.8</v>
      </c>
      <c r="N110" s="110">
        <f>84075+380+2210+300+300+300+380</f>
        <v>87945</v>
      </c>
      <c r="O110" s="110">
        <f>175+410+200+8850+100+300+300+364+175+272+204+6</f>
        <v>11356</v>
      </c>
      <c r="P110" s="110">
        <f>575+255+4130+175+204+340+175+255+500+300+175+1213.65</f>
        <v>8297.65</v>
      </c>
      <c r="Q110" s="103">
        <f>+H110+J110+K110+L110+M110+N110+O110+P110</f>
        <v>313027.77</v>
      </c>
      <c r="R110" s="207">
        <f>+G110-Q110</f>
        <v>71972.229999999981</v>
      </c>
    </row>
    <row r="111" spans="1:18" ht="15.75" x14ac:dyDescent="0.25">
      <c r="A111" s="85"/>
      <c r="B111" s="85"/>
      <c r="C111" s="92"/>
      <c r="D111" s="85"/>
      <c r="E111" s="85"/>
      <c r="F111" s="106"/>
      <c r="G111" s="108"/>
      <c r="H111" s="110"/>
      <c r="I111" s="12"/>
      <c r="J111" s="110"/>
      <c r="K111" s="110"/>
      <c r="L111" s="110"/>
      <c r="M111" s="110"/>
      <c r="N111" s="110"/>
      <c r="O111" s="110"/>
      <c r="P111" s="110"/>
      <c r="Q111" s="110"/>
      <c r="R111" s="207"/>
    </row>
    <row r="112" spans="1:18" ht="16.5" thickBot="1" x14ac:dyDescent="0.3">
      <c r="A112" s="85">
        <v>2</v>
      </c>
      <c r="B112" s="85">
        <v>3</v>
      </c>
      <c r="C112" s="92"/>
      <c r="D112" s="85"/>
      <c r="E112" s="93"/>
      <c r="F112" s="104" t="s">
        <v>85</v>
      </c>
      <c r="G112" s="95">
        <f>G113+G117+G120+G126+G130+G138</f>
        <v>1501221.5</v>
      </c>
      <c r="H112" s="165">
        <f>H113+H117+H120+H126+H130+H138</f>
        <v>85512.01</v>
      </c>
      <c r="I112" s="165" t="e">
        <f t="shared" ref="I112:R112" si="32">I113+I117+I120+I126+I130+I138</f>
        <v>#REF!</v>
      </c>
      <c r="J112" s="165">
        <f t="shared" si="32"/>
        <v>77786.3</v>
      </c>
      <c r="K112" s="165">
        <f t="shared" si="32"/>
        <v>60480</v>
      </c>
      <c r="L112" s="165">
        <f t="shared" si="32"/>
        <v>127356.73999999999</v>
      </c>
      <c r="M112" s="165">
        <f t="shared" si="32"/>
        <v>91216.950000000012</v>
      </c>
      <c r="N112" s="165">
        <f t="shared" si="32"/>
        <v>747.85</v>
      </c>
      <c r="O112" s="165">
        <f t="shared" si="32"/>
        <v>309611.44999999995</v>
      </c>
      <c r="P112" s="165">
        <f t="shared" si="32"/>
        <v>9953.2999999999993</v>
      </c>
      <c r="Q112" s="165">
        <f t="shared" si="32"/>
        <v>762664.6</v>
      </c>
      <c r="R112" s="201">
        <f t="shared" si="32"/>
        <v>738556.9</v>
      </c>
    </row>
    <row r="113" spans="1:18" ht="32.25" thickBot="1" x14ac:dyDescent="0.3">
      <c r="A113" s="85">
        <v>2</v>
      </c>
      <c r="B113" s="85">
        <v>3</v>
      </c>
      <c r="C113" s="92">
        <v>1</v>
      </c>
      <c r="D113" s="85"/>
      <c r="E113" s="93"/>
      <c r="F113" s="131" t="s">
        <v>86</v>
      </c>
      <c r="G113" s="112">
        <f t="shared" ref="G113:P113" si="33">G114</f>
        <v>0</v>
      </c>
      <c r="H113" s="113">
        <f t="shared" si="33"/>
        <v>0</v>
      </c>
      <c r="I113" s="15">
        <f t="shared" si="33"/>
        <v>0</v>
      </c>
      <c r="J113" s="113">
        <f t="shared" si="33"/>
        <v>0</v>
      </c>
      <c r="K113" s="113">
        <f t="shared" si="33"/>
        <v>0</v>
      </c>
      <c r="L113" s="113">
        <f t="shared" si="33"/>
        <v>0</v>
      </c>
      <c r="M113" s="113">
        <f t="shared" si="33"/>
        <v>0</v>
      </c>
      <c r="N113" s="113">
        <f t="shared" si="33"/>
        <v>0</v>
      </c>
      <c r="O113" s="113">
        <f t="shared" si="33"/>
        <v>0</v>
      </c>
      <c r="P113" s="113">
        <f t="shared" si="33"/>
        <v>0</v>
      </c>
      <c r="Q113" s="113">
        <f>Q114</f>
        <v>0</v>
      </c>
      <c r="R113" s="209">
        <f>R114</f>
        <v>0</v>
      </c>
    </row>
    <row r="114" spans="1:18" ht="31.5" x14ac:dyDescent="0.25">
      <c r="A114" s="85">
        <v>2</v>
      </c>
      <c r="B114" s="85">
        <v>3</v>
      </c>
      <c r="C114" s="92">
        <v>1</v>
      </c>
      <c r="D114" s="85">
        <v>1</v>
      </c>
      <c r="E114" s="93"/>
      <c r="F114" s="132" t="s">
        <v>87</v>
      </c>
      <c r="G114" s="108">
        <f>G115</f>
        <v>0</v>
      </c>
      <c r="H114" s="103"/>
      <c r="I114" s="9"/>
      <c r="J114" s="103"/>
      <c r="K114" s="103"/>
      <c r="L114" s="103"/>
      <c r="M114" s="103"/>
      <c r="N114" s="182"/>
      <c r="O114" s="182"/>
      <c r="P114" s="182"/>
      <c r="Q114" s="182">
        <f>+H114+J114+K114+L114+M114+N114+O114+P114</f>
        <v>0</v>
      </c>
      <c r="R114" s="205"/>
    </row>
    <row r="115" spans="1:18" ht="31.5" x14ac:dyDescent="0.25">
      <c r="A115" s="85">
        <v>2</v>
      </c>
      <c r="B115" s="85">
        <v>3</v>
      </c>
      <c r="C115" s="92">
        <v>1</v>
      </c>
      <c r="D115" s="85">
        <v>1</v>
      </c>
      <c r="E115" s="93">
        <v>1</v>
      </c>
      <c r="F115" s="132" t="s">
        <v>87</v>
      </c>
      <c r="G115" s="108"/>
      <c r="H115" s="110">
        <v>0</v>
      </c>
      <c r="I115" s="12">
        <v>0</v>
      </c>
      <c r="J115" s="110">
        <v>0</v>
      </c>
      <c r="K115" s="110"/>
      <c r="L115" s="110"/>
      <c r="M115" s="110"/>
      <c r="N115" s="110"/>
      <c r="O115" s="110"/>
      <c r="P115" s="110"/>
      <c r="Q115" s="103">
        <f>+H115+J115+K115+L115+M115+N115+O115+P115</f>
        <v>0</v>
      </c>
      <c r="R115" s="207">
        <v>0</v>
      </c>
    </row>
    <row r="116" spans="1:18" ht="15.75" x14ac:dyDescent="0.25">
      <c r="A116" s="85"/>
      <c r="B116" s="85"/>
      <c r="C116" s="92"/>
      <c r="D116" s="85"/>
      <c r="E116" s="93"/>
      <c r="F116" s="131"/>
      <c r="G116" s="108"/>
      <c r="H116" s="110"/>
      <c r="I116" s="12"/>
      <c r="J116" s="110"/>
      <c r="K116" s="110"/>
      <c r="L116" s="110"/>
      <c r="M116" s="110"/>
      <c r="N116" s="110"/>
      <c r="O116" s="110"/>
      <c r="P116" s="110"/>
      <c r="Q116" s="110"/>
      <c r="R116" s="207"/>
    </row>
    <row r="117" spans="1:18" ht="16.5" thickBot="1" x14ac:dyDescent="0.3">
      <c r="A117" s="85">
        <v>2</v>
      </c>
      <c r="B117" s="85">
        <v>3</v>
      </c>
      <c r="C117" s="92">
        <v>2</v>
      </c>
      <c r="D117" s="85"/>
      <c r="E117" s="93"/>
      <c r="F117" s="131" t="s">
        <v>88</v>
      </c>
      <c r="G117" s="108"/>
      <c r="H117" s="110">
        <f t="shared" ref="H117:R117" si="34">H118</f>
        <v>0</v>
      </c>
      <c r="I117" s="12">
        <f t="shared" si="34"/>
        <v>0</v>
      </c>
      <c r="J117" s="110">
        <f t="shared" si="34"/>
        <v>0</v>
      </c>
      <c r="K117" s="110">
        <f t="shared" si="34"/>
        <v>0</v>
      </c>
      <c r="L117" s="110">
        <f t="shared" si="34"/>
        <v>0</v>
      </c>
      <c r="M117" s="110">
        <f t="shared" si="34"/>
        <v>0</v>
      </c>
      <c r="N117" s="117">
        <f t="shared" si="34"/>
        <v>0</v>
      </c>
      <c r="O117" s="117">
        <f t="shared" si="34"/>
        <v>0</v>
      </c>
      <c r="P117" s="117">
        <f t="shared" si="34"/>
        <v>0</v>
      </c>
      <c r="Q117" s="117">
        <f t="shared" si="34"/>
        <v>0</v>
      </c>
      <c r="R117" s="207">
        <f t="shared" si="34"/>
        <v>0</v>
      </c>
    </row>
    <row r="118" spans="1:18" ht="15.75" x14ac:dyDescent="0.25">
      <c r="A118" s="85">
        <v>2</v>
      </c>
      <c r="B118" s="85">
        <v>3</v>
      </c>
      <c r="C118" s="92">
        <v>2</v>
      </c>
      <c r="D118" s="85">
        <v>3</v>
      </c>
      <c r="E118" s="93"/>
      <c r="F118" s="132" t="s">
        <v>89</v>
      </c>
      <c r="G118" s="107"/>
      <c r="H118" s="109">
        <v>0</v>
      </c>
      <c r="I118" s="13">
        <v>0</v>
      </c>
      <c r="J118" s="109">
        <v>0</v>
      </c>
      <c r="K118" s="109"/>
      <c r="L118" s="109"/>
      <c r="M118" s="109"/>
      <c r="N118" s="110"/>
      <c r="O118" s="110"/>
      <c r="P118" s="110"/>
      <c r="Q118" s="103">
        <f>+H118+J118+K118+L118+M118+N118+O118+P118</f>
        <v>0</v>
      </c>
      <c r="R118" s="208">
        <v>0</v>
      </c>
    </row>
    <row r="119" spans="1:18" s="17" customFormat="1" ht="15.75" x14ac:dyDescent="0.25">
      <c r="A119" s="85"/>
      <c r="B119" s="85"/>
      <c r="C119" s="92"/>
      <c r="D119" s="85"/>
      <c r="E119" s="93"/>
      <c r="F119" s="131"/>
      <c r="G119" s="108"/>
      <c r="H119" s="103"/>
      <c r="I119" s="9"/>
      <c r="J119" s="103"/>
      <c r="K119" s="103"/>
      <c r="L119" s="103"/>
      <c r="M119" s="103"/>
      <c r="N119" s="103"/>
      <c r="O119" s="103"/>
      <c r="P119" s="103"/>
      <c r="Q119" s="103"/>
      <c r="R119" s="205"/>
    </row>
    <row r="120" spans="1:18" ht="32.25" thickBot="1" x14ac:dyDescent="0.3">
      <c r="A120" s="85">
        <v>2</v>
      </c>
      <c r="B120" s="115">
        <v>3</v>
      </c>
      <c r="C120" s="116">
        <v>3</v>
      </c>
      <c r="D120" s="93"/>
      <c r="E120" s="93"/>
      <c r="F120" s="104" t="s">
        <v>90</v>
      </c>
      <c r="G120" s="95">
        <f t="shared" ref="G120:R120" si="35">G121+G122+G123+G124</f>
        <v>101500</v>
      </c>
      <c r="H120" s="105">
        <f t="shared" si="35"/>
        <v>0</v>
      </c>
      <c r="I120" s="10" t="e">
        <f t="shared" si="35"/>
        <v>#REF!</v>
      </c>
      <c r="J120" s="105">
        <f t="shared" si="35"/>
        <v>708</v>
      </c>
      <c r="K120" s="105">
        <f t="shared" si="35"/>
        <v>0</v>
      </c>
      <c r="L120" s="105">
        <f t="shared" si="35"/>
        <v>0</v>
      </c>
      <c r="M120" s="105">
        <f t="shared" si="35"/>
        <v>0</v>
      </c>
      <c r="N120" s="105">
        <f t="shared" si="35"/>
        <v>0</v>
      </c>
      <c r="O120" s="105">
        <f t="shared" si="35"/>
        <v>0</v>
      </c>
      <c r="P120" s="105">
        <f t="shared" si="35"/>
        <v>0</v>
      </c>
      <c r="Q120" s="105">
        <f t="shared" si="35"/>
        <v>708</v>
      </c>
      <c r="R120" s="202">
        <f t="shared" si="35"/>
        <v>100792</v>
      </c>
    </row>
    <row r="121" spans="1:18" ht="15.75" x14ac:dyDescent="0.25">
      <c r="A121" s="85">
        <v>2</v>
      </c>
      <c r="B121" s="85">
        <v>3</v>
      </c>
      <c r="C121" s="92">
        <v>3</v>
      </c>
      <c r="D121" s="85">
        <v>1</v>
      </c>
      <c r="E121" s="85"/>
      <c r="F121" s="127" t="s">
        <v>91</v>
      </c>
      <c r="G121" s="107">
        <v>68000</v>
      </c>
      <c r="H121" s="109"/>
      <c r="I121" s="12" t="e">
        <f>+G121-#REF!</f>
        <v>#REF!</v>
      </c>
      <c r="J121" s="109"/>
      <c r="K121" s="109"/>
      <c r="L121" s="109"/>
      <c r="M121" s="109"/>
      <c r="N121" s="183"/>
      <c r="O121" s="183"/>
      <c r="P121" s="183"/>
      <c r="Q121" s="103">
        <f>+H121+J121+K121+L121+M121+N121+O121+P121</f>
        <v>0</v>
      </c>
      <c r="R121" s="230">
        <f>+G121-Q121</f>
        <v>68000</v>
      </c>
    </row>
    <row r="122" spans="1:18" ht="15.75" x14ac:dyDescent="0.25">
      <c r="A122" s="85">
        <v>2</v>
      </c>
      <c r="B122" s="85">
        <v>3</v>
      </c>
      <c r="C122" s="92">
        <v>3</v>
      </c>
      <c r="D122" s="85">
        <v>2</v>
      </c>
      <c r="E122" s="85"/>
      <c r="F122" s="127" t="s">
        <v>92</v>
      </c>
      <c r="G122" s="108">
        <v>23000</v>
      </c>
      <c r="H122" s="110">
        <v>0</v>
      </c>
      <c r="I122" s="12" t="e">
        <f>+G122-#REF!</f>
        <v>#REF!</v>
      </c>
      <c r="J122" s="110">
        <v>0</v>
      </c>
      <c r="K122" s="110"/>
      <c r="L122" s="110"/>
      <c r="M122" s="110"/>
      <c r="N122" s="183"/>
      <c r="O122" s="183"/>
      <c r="P122" s="183"/>
      <c r="Q122" s="103">
        <f>+H122+J122+K122+L122+M122+N122+O122+P122</f>
        <v>0</v>
      </c>
      <c r="R122" s="231">
        <f>+G122-Q122</f>
        <v>23000</v>
      </c>
    </row>
    <row r="123" spans="1:18" ht="15.75" x14ac:dyDescent="0.25">
      <c r="A123" s="85">
        <v>2</v>
      </c>
      <c r="B123" s="85">
        <v>3</v>
      </c>
      <c r="C123" s="92">
        <v>3</v>
      </c>
      <c r="D123" s="85">
        <v>3</v>
      </c>
      <c r="E123" s="85"/>
      <c r="F123" s="127" t="s">
        <v>93</v>
      </c>
      <c r="G123" s="108">
        <v>0</v>
      </c>
      <c r="H123" s="110">
        <v>0</v>
      </c>
      <c r="I123" s="12">
        <v>0</v>
      </c>
      <c r="J123" s="110">
        <v>708</v>
      </c>
      <c r="K123" s="110"/>
      <c r="L123" s="110"/>
      <c r="M123" s="110"/>
      <c r="N123" s="183"/>
      <c r="O123" s="183"/>
      <c r="P123" s="183"/>
      <c r="Q123" s="103">
        <f>+H123+J123+K123+L123+M123+N123+O123+P123</f>
        <v>708</v>
      </c>
      <c r="R123" s="231">
        <f>+G123-Q123</f>
        <v>-708</v>
      </c>
    </row>
    <row r="124" spans="1:18" ht="15.75" x14ac:dyDescent="0.25">
      <c r="A124" s="85">
        <v>2</v>
      </c>
      <c r="B124" s="85">
        <v>3</v>
      </c>
      <c r="C124" s="92">
        <v>3</v>
      </c>
      <c r="D124" s="85">
        <v>4</v>
      </c>
      <c r="E124" s="85"/>
      <c r="F124" s="127" t="s">
        <v>94</v>
      </c>
      <c r="G124" s="108">
        <v>10500</v>
      </c>
      <c r="H124" s="110"/>
      <c r="I124" s="12" t="e">
        <f>+G124-#REF!</f>
        <v>#REF!</v>
      </c>
      <c r="J124" s="110"/>
      <c r="K124" s="110"/>
      <c r="L124" s="110"/>
      <c r="M124" s="110"/>
      <c r="N124" s="183"/>
      <c r="O124" s="183"/>
      <c r="P124" s="183"/>
      <c r="Q124" s="103">
        <f>+H124+J124+K124+L124+M124+N124+O124+P124</f>
        <v>0</v>
      </c>
      <c r="R124" s="231">
        <f>+G124-Q124</f>
        <v>10500</v>
      </c>
    </row>
    <row r="125" spans="1:18" s="28" customFormat="1" ht="16.5" thickBot="1" x14ac:dyDescent="0.3">
      <c r="A125" s="85"/>
      <c r="B125" s="85"/>
      <c r="C125" s="92"/>
      <c r="D125" s="85"/>
      <c r="E125" s="85"/>
      <c r="F125" s="127"/>
      <c r="G125" s="108"/>
      <c r="H125" s="110"/>
      <c r="I125" s="12"/>
      <c r="J125" s="110"/>
      <c r="K125" s="110"/>
      <c r="L125" s="110"/>
      <c r="M125" s="110"/>
      <c r="N125" s="183"/>
      <c r="O125" s="183"/>
      <c r="P125" s="183"/>
      <c r="Q125" s="103">
        <f>+H125+J125+K125+L125+M125+N125+O125+P125</f>
        <v>0</v>
      </c>
      <c r="R125" s="231"/>
    </row>
    <row r="126" spans="1:18" s="28" customFormat="1" ht="32.25" thickBot="1" x14ac:dyDescent="0.3">
      <c r="A126" s="93">
        <v>2</v>
      </c>
      <c r="B126" s="93">
        <v>3</v>
      </c>
      <c r="C126" s="133">
        <v>7</v>
      </c>
      <c r="D126" s="93"/>
      <c r="E126" s="93"/>
      <c r="F126" s="128" t="s">
        <v>95</v>
      </c>
      <c r="G126" s="95">
        <f t="shared" ref="G126:R127" si="36">G127</f>
        <v>804051.5</v>
      </c>
      <c r="H126" s="117">
        <f t="shared" si="36"/>
        <v>0</v>
      </c>
      <c r="I126" s="16" t="e">
        <f t="shared" si="36"/>
        <v>#REF!</v>
      </c>
      <c r="J126" s="117">
        <f t="shared" si="36"/>
        <v>0</v>
      </c>
      <c r="K126" s="117">
        <f t="shared" si="36"/>
        <v>60000</v>
      </c>
      <c r="L126" s="117">
        <f t="shared" si="36"/>
        <v>0</v>
      </c>
      <c r="M126" s="117">
        <f t="shared" si="36"/>
        <v>0</v>
      </c>
      <c r="N126" s="117">
        <f t="shared" si="36"/>
        <v>0</v>
      </c>
      <c r="O126" s="117">
        <f t="shared" si="36"/>
        <v>0</v>
      </c>
      <c r="P126" s="117">
        <f t="shared" si="36"/>
        <v>0</v>
      </c>
      <c r="Q126" s="117">
        <f t="shared" si="36"/>
        <v>60000</v>
      </c>
      <c r="R126" s="232">
        <f t="shared" si="36"/>
        <v>744051.5</v>
      </c>
    </row>
    <row r="127" spans="1:18" s="29" customFormat="1" ht="16.5" thickBot="1" x14ac:dyDescent="0.3">
      <c r="A127" s="93">
        <v>2</v>
      </c>
      <c r="B127" s="93">
        <v>3</v>
      </c>
      <c r="C127" s="133">
        <v>7</v>
      </c>
      <c r="D127" s="93">
        <v>1</v>
      </c>
      <c r="E127" s="93"/>
      <c r="F127" s="128" t="s">
        <v>96</v>
      </c>
      <c r="G127" s="95">
        <f t="shared" si="36"/>
        <v>804051.5</v>
      </c>
      <c r="H127" s="98">
        <f t="shared" si="36"/>
        <v>0</v>
      </c>
      <c r="I127" s="16" t="e">
        <f>I128</f>
        <v>#REF!</v>
      </c>
      <c r="J127" s="98">
        <f t="shared" si="36"/>
        <v>0</v>
      </c>
      <c r="K127" s="98">
        <f t="shared" si="36"/>
        <v>60000</v>
      </c>
      <c r="L127" s="98">
        <f t="shared" si="36"/>
        <v>0</v>
      </c>
      <c r="M127" s="98">
        <f t="shared" si="36"/>
        <v>0</v>
      </c>
      <c r="N127" s="98">
        <f t="shared" si="36"/>
        <v>0</v>
      </c>
      <c r="O127" s="98">
        <f t="shared" si="36"/>
        <v>0</v>
      </c>
      <c r="P127" s="98">
        <f t="shared" si="36"/>
        <v>0</v>
      </c>
      <c r="Q127" s="98">
        <f t="shared" si="36"/>
        <v>60000</v>
      </c>
      <c r="R127" s="211">
        <f>R128</f>
        <v>744051.5</v>
      </c>
    </row>
    <row r="128" spans="1:18" ht="15.75" x14ac:dyDescent="0.25">
      <c r="A128" s="119">
        <v>2</v>
      </c>
      <c r="B128" s="119">
        <v>3</v>
      </c>
      <c r="C128" s="134">
        <v>7</v>
      </c>
      <c r="D128" s="119">
        <v>1</v>
      </c>
      <c r="E128" s="119">
        <v>1</v>
      </c>
      <c r="F128" s="106" t="s">
        <v>97</v>
      </c>
      <c r="G128" s="124">
        <f>960000-155948.5</f>
        <v>804051.5</v>
      </c>
      <c r="H128" s="109"/>
      <c r="I128" s="13" t="e">
        <f>+G128-#REF!</f>
        <v>#REF!</v>
      </c>
      <c r="J128" s="109"/>
      <c r="K128" s="109">
        <v>60000</v>
      </c>
      <c r="L128" s="109"/>
      <c r="M128" s="109"/>
      <c r="N128" s="110"/>
      <c r="O128" s="110"/>
      <c r="P128" s="110"/>
      <c r="Q128" s="103">
        <f>+H128+J128+K128+L128+M128+N128+O128+P128</f>
        <v>60000</v>
      </c>
      <c r="R128" s="208">
        <f>+G128-Q128</f>
        <v>744051.5</v>
      </c>
    </row>
    <row r="129" spans="1:18" ht="15.75" x14ac:dyDescent="0.25">
      <c r="A129" s="85"/>
      <c r="B129" s="85"/>
      <c r="C129" s="92"/>
      <c r="D129" s="85"/>
      <c r="E129" s="85"/>
      <c r="F129" s="106"/>
      <c r="G129" s="108"/>
      <c r="H129" s="110"/>
      <c r="I129" s="12"/>
      <c r="J129" s="110"/>
      <c r="K129" s="110"/>
      <c r="L129" s="110"/>
      <c r="M129" s="110"/>
      <c r="N129" s="110"/>
      <c r="O129" s="110"/>
      <c r="P129" s="110"/>
      <c r="Q129" s="110"/>
      <c r="R129" s="207"/>
    </row>
    <row r="130" spans="1:18" ht="16.5" thickBot="1" x14ac:dyDescent="0.3">
      <c r="A130" s="85">
        <v>2</v>
      </c>
      <c r="B130" s="85">
        <v>3</v>
      </c>
      <c r="C130" s="92">
        <v>9</v>
      </c>
      <c r="D130" s="85"/>
      <c r="E130" s="93"/>
      <c r="F130" s="104" t="s">
        <v>98</v>
      </c>
      <c r="G130" s="129">
        <f>SUM(G131:G135)</f>
        <v>595670</v>
      </c>
      <c r="H130" s="129">
        <f t="shared" ref="H130:Q130" si="37">SUM(H131:H135)</f>
        <v>85512.01</v>
      </c>
      <c r="I130" s="129" t="e">
        <f t="shared" si="37"/>
        <v>#REF!</v>
      </c>
      <c r="J130" s="180">
        <f t="shared" si="37"/>
        <v>77078.3</v>
      </c>
      <c r="K130" s="180">
        <f t="shared" si="37"/>
        <v>480</v>
      </c>
      <c r="L130" s="180">
        <f t="shared" si="37"/>
        <v>116541.09999999999</v>
      </c>
      <c r="M130" s="180">
        <f t="shared" si="37"/>
        <v>91216.950000000012</v>
      </c>
      <c r="N130" s="180">
        <f t="shared" si="37"/>
        <v>747.85</v>
      </c>
      <c r="O130" s="180">
        <f t="shared" si="37"/>
        <v>111088.97</v>
      </c>
      <c r="P130" s="180">
        <f t="shared" si="37"/>
        <v>9953.2999999999993</v>
      </c>
      <c r="Q130" s="180">
        <f t="shared" si="37"/>
        <v>492618.48</v>
      </c>
      <c r="R130" s="206">
        <f>R131+R132+R133+R134+R135+R136</f>
        <v>103051.52000000005</v>
      </c>
    </row>
    <row r="131" spans="1:18" ht="15.75" x14ac:dyDescent="0.25">
      <c r="A131" s="85">
        <v>2</v>
      </c>
      <c r="B131" s="85">
        <v>3</v>
      </c>
      <c r="C131" s="92">
        <v>9</v>
      </c>
      <c r="D131" s="85">
        <v>1</v>
      </c>
      <c r="E131" s="85"/>
      <c r="F131" s="106" t="s">
        <v>99</v>
      </c>
      <c r="G131" s="107">
        <v>8000</v>
      </c>
      <c r="H131" s="110"/>
      <c r="I131" s="12" t="e">
        <f>+G131-#REF!</f>
        <v>#REF!</v>
      </c>
      <c r="J131" s="110">
        <v>50</v>
      </c>
      <c r="K131" s="110"/>
      <c r="L131" s="110">
        <v>120</v>
      </c>
      <c r="M131" s="110"/>
      <c r="N131" s="110"/>
      <c r="O131" s="110"/>
      <c r="P131" s="110"/>
      <c r="Q131" s="103">
        <f>+H131+J131+K131+L131+M131+N131+O131+P131</f>
        <v>170</v>
      </c>
      <c r="R131" s="207">
        <f>+G131-Q131</f>
        <v>7830</v>
      </c>
    </row>
    <row r="132" spans="1:18" ht="31.5" x14ac:dyDescent="0.25">
      <c r="A132" s="85">
        <v>2</v>
      </c>
      <c r="B132" s="85">
        <v>3</v>
      </c>
      <c r="C132" s="92">
        <v>9</v>
      </c>
      <c r="D132" s="85">
        <v>2</v>
      </c>
      <c r="E132" s="85"/>
      <c r="F132" s="106" t="s">
        <v>100</v>
      </c>
      <c r="G132" s="108">
        <v>195000</v>
      </c>
      <c r="H132" s="110">
        <v>79914.009999999995</v>
      </c>
      <c r="I132" s="12" t="e">
        <f>+G132-#REF!</f>
        <v>#REF!</v>
      </c>
      <c r="J132" s="110">
        <f>22495.78+8966.17+9109.6</f>
        <v>40571.549999999996</v>
      </c>
      <c r="K132" s="110"/>
      <c r="L132" s="110">
        <v>110424.4</v>
      </c>
      <c r="M132" s="110">
        <f>19857.64+41206.78+450</f>
        <v>61514.42</v>
      </c>
      <c r="N132" s="110"/>
      <c r="O132" s="110">
        <v>3899.99</v>
      </c>
      <c r="P132" s="110">
        <f>7062.3+2891</f>
        <v>9953.2999999999993</v>
      </c>
      <c r="Q132" s="103">
        <f>+H132+J132+K132+L132+M132+N132+O132+P132</f>
        <v>306277.67</v>
      </c>
      <c r="R132" s="207">
        <f>+G132-Q132</f>
        <v>-111277.66999999998</v>
      </c>
    </row>
    <row r="133" spans="1:18" ht="15.75" x14ac:dyDescent="0.25">
      <c r="A133" s="85">
        <v>2</v>
      </c>
      <c r="B133" s="119">
        <v>3</v>
      </c>
      <c r="C133" s="119">
        <v>9</v>
      </c>
      <c r="D133" s="85">
        <v>5</v>
      </c>
      <c r="E133" s="85"/>
      <c r="F133" s="135" t="s">
        <v>101</v>
      </c>
      <c r="G133" s="108">
        <v>10000</v>
      </c>
      <c r="H133" s="110"/>
      <c r="I133" s="12" t="e">
        <f>+G133-#REF!</f>
        <v>#REF!</v>
      </c>
      <c r="J133" s="110">
        <f>258.9+29108.9</f>
        <v>29367.800000000003</v>
      </c>
      <c r="K133" s="110"/>
      <c r="L133" s="110"/>
      <c r="M133" s="110">
        <v>29213.68</v>
      </c>
      <c r="N133" s="110"/>
      <c r="O133" s="110">
        <f>675.88+250+18620.4+39232.3+43563+1584.5+517.9</f>
        <v>104443.98</v>
      </c>
      <c r="P133" s="110"/>
      <c r="Q133" s="103">
        <f>+H133+J133+K133+L133+M133+N133+O133+P133</f>
        <v>163025.46</v>
      </c>
      <c r="R133" s="207">
        <f>+G133-Q133</f>
        <v>-153025.46</v>
      </c>
    </row>
    <row r="134" spans="1:18" ht="31.5" x14ac:dyDescent="0.25">
      <c r="A134" s="85">
        <v>2</v>
      </c>
      <c r="B134" s="85">
        <v>3</v>
      </c>
      <c r="C134" s="92">
        <v>9</v>
      </c>
      <c r="D134" s="85">
        <v>8</v>
      </c>
      <c r="E134" s="85"/>
      <c r="F134" s="132" t="s">
        <v>102</v>
      </c>
      <c r="G134" s="108">
        <v>20000</v>
      </c>
      <c r="H134" s="110">
        <v>2600</v>
      </c>
      <c r="I134" s="12" t="e">
        <f>+G134-#REF!</f>
        <v>#REF!</v>
      </c>
      <c r="J134" s="110"/>
      <c r="K134" s="110"/>
      <c r="L134" s="110"/>
      <c r="M134" s="110"/>
      <c r="N134" s="110"/>
      <c r="O134" s="110">
        <v>1805</v>
      </c>
      <c r="P134" s="110"/>
      <c r="Q134" s="103">
        <f>+H134+J134+K134+L134+M134+N134+O134+P134</f>
        <v>4405</v>
      </c>
      <c r="R134" s="207">
        <f>+G134-Q134</f>
        <v>15595</v>
      </c>
    </row>
    <row r="135" spans="1:18" ht="15.75" x14ac:dyDescent="0.25">
      <c r="A135" s="85">
        <v>2</v>
      </c>
      <c r="B135" s="85">
        <v>3</v>
      </c>
      <c r="C135" s="92">
        <v>9</v>
      </c>
      <c r="D135" s="85">
        <v>9</v>
      </c>
      <c r="E135" s="85"/>
      <c r="F135" s="132" t="s">
        <v>103</v>
      </c>
      <c r="G135" s="108">
        <f>435000-72330</f>
        <v>362670</v>
      </c>
      <c r="H135" s="110">
        <f>100+100+100+100+100+195+1200+1103</f>
        <v>2998</v>
      </c>
      <c r="I135" s="12" t="e">
        <f>+G135-#REF!</f>
        <v>#REF!</v>
      </c>
      <c r="J135" s="110">
        <f>6830+258.95</f>
        <v>7088.95</v>
      </c>
      <c r="K135" s="110">
        <v>480</v>
      </c>
      <c r="L135" s="110">
        <f>3957+517.9+560+143.95+817.85</f>
        <v>5996.7</v>
      </c>
      <c r="M135" s="110">
        <f>488.85</f>
        <v>488.85</v>
      </c>
      <c r="N135" s="110">
        <v>747.85</v>
      </c>
      <c r="O135" s="110">
        <f>440+500</f>
        <v>940</v>
      </c>
      <c r="P135" s="110"/>
      <c r="Q135" s="103">
        <f>+H135+J135+K135+L135+M135+N135+O135+P135</f>
        <v>18740.349999999999</v>
      </c>
      <c r="R135" s="207">
        <f>+G135-Q135</f>
        <v>343929.65</v>
      </c>
    </row>
    <row r="136" spans="1:18" ht="15.75" x14ac:dyDescent="0.25">
      <c r="A136" s="85">
        <v>2</v>
      </c>
      <c r="B136" s="85">
        <v>3</v>
      </c>
      <c r="C136" s="92">
        <v>9</v>
      </c>
      <c r="D136" s="85">
        <v>9</v>
      </c>
      <c r="E136" s="85">
        <v>2</v>
      </c>
      <c r="F136" s="132" t="s">
        <v>104</v>
      </c>
      <c r="G136" s="108"/>
      <c r="H136" s="110">
        <v>0</v>
      </c>
      <c r="I136" s="12">
        <v>0</v>
      </c>
      <c r="J136" s="110">
        <v>0</v>
      </c>
      <c r="K136" s="110"/>
      <c r="L136" s="110"/>
      <c r="M136" s="110"/>
      <c r="N136" s="110"/>
      <c r="O136" s="110"/>
      <c r="P136" s="110"/>
      <c r="Q136" s="103">
        <f>+H136+J136+K136+L136+M136+N136+O136</f>
        <v>0</v>
      </c>
      <c r="R136" s="207">
        <v>0</v>
      </c>
    </row>
    <row r="137" spans="1:18" ht="15.75" x14ac:dyDescent="0.25">
      <c r="A137" s="85"/>
      <c r="B137" s="85"/>
      <c r="C137" s="92"/>
      <c r="D137" s="85"/>
      <c r="E137" s="85"/>
      <c r="F137" s="106"/>
      <c r="G137" s="108"/>
      <c r="H137" s="110"/>
      <c r="I137" s="12"/>
      <c r="J137" s="110"/>
      <c r="K137" s="110"/>
      <c r="L137" s="110"/>
      <c r="M137" s="110"/>
      <c r="N137" s="110"/>
      <c r="O137" s="110"/>
      <c r="P137" s="110"/>
      <c r="Q137" s="110"/>
      <c r="R137" s="207"/>
    </row>
    <row r="138" spans="1:18" ht="32.25" thickBot="1" x14ac:dyDescent="0.3">
      <c r="A138" s="85">
        <v>2</v>
      </c>
      <c r="B138" s="85">
        <v>6</v>
      </c>
      <c r="C138" s="92"/>
      <c r="D138" s="85"/>
      <c r="E138" s="93"/>
      <c r="F138" s="104" t="s">
        <v>105</v>
      </c>
      <c r="G138" s="96">
        <f>G139+G147+G151</f>
        <v>0</v>
      </c>
      <c r="H138" s="96">
        <f t="shared" ref="H138:P138" si="38">H139+H147+H151</f>
        <v>0</v>
      </c>
      <c r="I138" s="6" t="e">
        <f>I139+I147+I151+I140</f>
        <v>#REF!</v>
      </c>
      <c r="J138" s="96">
        <f t="shared" si="38"/>
        <v>0</v>
      </c>
      <c r="K138" s="96">
        <f t="shared" si="38"/>
        <v>0</v>
      </c>
      <c r="L138" s="96">
        <f t="shared" si="38"/>
        <v>10815.64</v>
      </c>
      <c r="M138" s="96">
        <f t="shared" si="38"/>
        <v>0</v>
      </c>
      <c r="N138" s="96">
        <f t="shared" si="38"/>
        <v>0</v>
      </c>
      <c r="O138" s="96">
        <f t="shared" si="38"/>
        <v>198522.47999999998</v>
      </c>
      <c r="P138" s="96">
        <f t="shared" si="38"/>
        <v>0</v>
      </c>
      <c r="Q138" s="96">
        <f>Q139+Q147+Q151</f>
        <v>209338.12</v>
      </c>
      <c r="R138" s="202">
        <f>R139+R147+R151+R140</f>
        <v>-209338.12</v>
      </c>
    </row>
    <row r="139" spans="1:18" ht="16.5" thickBot="1" x14ac:dyDescent="0.3">
      <c r="A139" s="85">
        <v>2</v>
      </c>
      <c r="B139" s="85">
        <v>6</v>
      </c>
      <c r="C139" s="92">
        <v>1</v>
      </c>
      <c r="D139" s="85"/>
      <c r="E139" s="119"/>
      <c r="F139" s="128" t="s">
        <v>106</v>
      </c>
      <c r="G139" s="97">
        <f>G141+G142+G143+G145+G146</f>
        <v>0</v>
      </c>
      <c r="H139" s="169">
        <f t="shared" ref="H139:Q139" si="39">+H140+H141+H142+H143+H144+H145</f>
        <v>0</v>
      </c>
      <c r="I139" s="7">
        <f>I141+I142+I143+I145+I146</f>
        <v>0</v>
      </c>
      <c r="J139" s="169">
        <f t="shared" si="39"/>
        <v>0</v>
      </c>
      <c r="K139" s="169">
        <f t="shared" si="39"/>
        <v>0</v>
      </c>
      <c r="L139" s="169">
        <f t="shared" si="39"/>
        <v>10815.64</v>
      </c>
      <c r="M139" s="169">
        <f t="shared" si="39"/>
        <v>0</v>
      </c>
      <c r="N139" s="169">
        <f t="shared" si="39"/>
        <v>0</v>
      </c>
      <c r="O139" s="169">
        <f>+O140+O141+O142+O143+O144+O145</f>
        <v>198522.47999999998</v>
      </c>
      <c r="P139" s="169"/>
      <c r="Q139" s="169">
        <f t="shared" si="39"/>
        <v>209338.12</v>
      </c>
      <c r="R139" s="233">
        <f>R141+R142+R143+R145+R146</f>
        <v>-209338.12</v>
      </c>
    </row>
    <row r="140" spans="1:18" ht="16.5" thickBot="1" x14ac:dyDescent="0.3">
      <c r="A140" s="85">
        <v>2</v>
      </c>
      <c r="B140" s="85">
        <v>6</v>
      </c>
      <c r="C140" s="92">
        <v>8</v>
      </c>
      <c r="D140" s="85">
        <v>8</v>
      </c>
      <c r="E140" s="119"/>
      <c r="F140" s="136" t="s">
        <v>107</v>
      </c>
      <c r="G140" s="108">
        <f>G142+G143+G144+G146+G147</f>
        <v>0</v>
      </c>
      <c r="H140" s="124">
        <f>H142+H143+H144+H146+H147</f>
        <v>0</v>
      </c>
      <c r="I140" s="7" t="e">
        <f>+G140-#REF!</f>
        <v>#REF!</v>
      </c>
      <c r="J140" s="124">
        <f>J142+J143+J144+J146+J147</f>
        <v>0</v>
      </c>
      <c r="K140" s="124">
        <f>K142+K143+K144+K146+K147</f>
        <v>0</v>
      </c>
      <c r="L140" s="124"/>
      <c r="M140" s="124"/>
      <c r="N140" s="224"/>
      <c r="O140" s="224"/>
      <c r="P140" s="224"/>
      <c r="Q140" s="103">
        <f t="shared" ref="Q140:Q145" si="40">+H140+J140+K140+L140+M140+N140+O140+P140</f>
        <v>0</v>
      </c>
      <c r="R140" s="214">
        <f t="shared" ref="R140:R145" si="41">+G140-Q140</f>
        <v>0</v>
      </c>
    </row>
    <row r="141" spans="1:18" ht="31.5" x14ac:dyDescent="0.25">
      <c r="A141" s="85">
        <v>2</v>
      </c>
      <c r="B141" s="85">
        <v>6</v>
      </c>
      <c r="C141" s="92">
        <v>1</v>
      </c>
      <c r="D141" s="85">
        <v>1</v>
      </c>
      <c r="E141" s="119"/>
      <c r="F141" s="127" t="s">
        <v>108</v>
      </c>
      <c r="G141" s="108"/>
      <c r="H141" s="110"/>
      <c r="I141" s="13"/>
      <c r="J141" s="110"/>
      <c r="K141" s="110"/>
      <c r="L141" s="110">
        <v>10815.64</v>
      </c>
      <c r="M141" s="110"/>
      <c r="N141" s="183"/>
      <c r="O141" s="183">
        <v>109126.39999999999</v>
      </c>
      <c r="P141" s="183"/>
      <c r="Q141" s="103">
        <f t="shared" si="40"/>
        <v>119942.04</v>
      </c>
      <c r="R141" s="207">
        <f t="shared" si="41"/>
        <v>-119942.04</v>
      </c>
    </row>
    <row r="142" spans="1:18" ht="15.75" x14ac:dyDescent="0.25">
      <c r="A142" s="85">
        <v>2</v>
      </c>
      <c r="B142" s="85">
        <v>6</v>
      </c>
      <c r="C142" s="92">
        <v>1</v>
      </c>
      <c r="D142" s="85">
        <v>4</v>
      </c>
      <c r="E142" s="119"/>
      <c r="F142" s="127" t="s">
        <v>109</v>
      </c>
      <c r="G142" s="108"/>
      <c r="H142" s="110"/>
      <c r="I142" s="12"/>
      <c r="J142" s="110"/>
      <c r="K142" s="110"/>
      <c r="L142" s="110"/>
      <c r="M142" s="110"/>
      <c r="N142" s="183"/>
      <c r="O142" s="183">
        <v>44242.28</v>
      </c>
      <c r="P142" s="183"/>
      <c r="Q142" s="103">
        <f t="shared" si="40"/>
        <v>44242.28</v>
      </c>
      <c r="R142" s="207">
        <f t="shared" si="41"/>
        <v>-44242.28</v>
      </c>
    </row>
    <row r="143" spans="1:18" ht="15.75" x14ac:dyDescent="0.25">
      <c r="A143" s="85">
        <v>2</v>
      </c>
      <c r="B143" s="85">
        <v>6</v>
      </c>
      <c r="C143" s="92">
        <v>1</v>
      </c>
      <c r="D143" s="85">
        <v>7</v>
      </c>
      <c r="E143" s="119"/>
      <c r="F143" s="127" t="s">
        <v>110</v>
      </c>
      <c r="G143" s="108"/>
      <c r="H143" s="110">
        <v>0</v>
      </c>
      <c r="I143" s="12">
        <v>0</v>
      </c>
      <c r="J143" s="110">
        <v>0</v>
      </c>
      <c r="K143" s="110"/>
      <c r="L143" s="110"/>
      <c r="M143" s="110"/>
      <c r="N143" s="183"/>
      <c r="O143" s="183">
        <v>42373.8</v>
      </c>
      <c r="P143" s="183"/>
      <c r="Q143" s="103">
        <f t="shared" si="40"/>
        <v>42373.8</v>
      </c>
      <c r="R143" s="207">
        <f t="shared" si="41"/>
        <v>-42373.8</v>
      </c>
    </row>
    <row r="144" spans="1:18" ht="15.75" x14ac:dyDescent="0.25">
      <c r="A144" s="85">
        <v>2</v>
      </c>
      <c r="B144" s="85">
        <v>6</v>
      </c>
      <c r="C144" s="92">
        <v>1</v>
      </c>
      <c r="D144" s="85">
        <v>8</v>
      </c>
      <c r="E144" s="119"/>
      <c r="F144" s="127" t="s">
        <v>111</v>
      </c>
      <c r="G144" s="108"/>
      <c r="H144" s="110"/>
      <c r="I144" s="12"/>
      <c r="J144" s="110"/>
      <c r="K144" s="110"/>
      <c r="L144" s="110"/>
      <c r="M144" s="110"/>
      <c r="N144" s="183"/>
      <c r="O144" s="183"/>
      <c r="P144" s="183"/>
      <c r="Q144" s="103">
        <f t="shared" si="40"/>
        <v>0</v>
      </c>
      <c r="R144" s="207">
        <f t="shared" si="41"/>
        <v>0</v>
      </c>
    </row>
    <row r="145" spans="1:18" ht="31.5" x14ac:dyDescent="0.25">
      <c r="A145" s="85">
        <v>2</v>
      </c>
      <c r="B145" s="85">
        <v>6</v>
      </c>
      <c r="C145" s="92">
        <v>1</v>
      </c>
      <c r="D145" s="85">
        <v>9</v>
      </c>
      <c r="E145" s="119"/>
      <c r="F145" s="127" t="s">
        <v>112</v>
      </c>
      <c r="G145" s="108"/>
      <c r="H145" s="110"/>
      <c r="I145" s="12"/>
      <c r="J145" s="110"/>
      <c r="K145" s="110"/>
      <c r="L145" s="110"/>
      <c r="M145" s="110"/>
      <c r="N145" s="183"/>
      <c r="O145" s="183">
        <v>2780</v>
      </c>
      <c r="P145" s="183"/>
      <c r="Q145" s="103">
        <f t="shared" si="40"/>
        <v>2780</v>
      </c>
      <c r="R145" s="207">
        <f t="shared" si="41"/>
        <v>-2780</v>
      </c>
    </row>
    <row r="146" spans="1:18" ht="15.75" x14ac:dyDescent="0.25">
      <c r="A146" s="85"/>
      <c r="B146" s="85"/>
      <c r="C146" s="92"/>
      <c r="D146" s="85"/>
      <c r="E146" s="93"/>
      <c r="F146" s="128"/>
      <c r="G146" s="125"/>
      <c r="H146" s="96"/>
      <c r="I146" s="6">
        <f>+G146</f>
        <v>0</v>
      </c>
      <c r="J146" s="96"/>
      <c r="K146" s="96"/>
      <c r="L146" s="96"/>
      <c r="M146" s="96"/>
      <c r="N146" s="184"/>
      <c r="O146" s="184"/>
      <c r="P146" s="184"/>
      <c r="Q146" s="103">
        <f>+H146+J146+K146+L146+M146+N146</f>
        <v>0</v>
      </c>
      <c r="R146" s="202"/>
    </row>
    <row r="147" spans="1:18" ht="32.25" thickBot="1" x14ac:dyDescent="0.3">
      <c r="A147" s="85">
        <v>2</v>
      </c>
      <c r="B147" s="85">
        <v>6</v>
      </c>
      <c r="C147" s="92">
        <v>2</v>
      </c>
      <c r="D147" s="85"/>
      <c r="E147" s="93"/>
      <c r="F147" s="128" t="s">
        <v>113</v>
      </c>
      <c r="G147" s="95">
        <f t="shared" ref="G147:R147" si="42">G148+G149</f>
        <v>0</v>
      </c>
      <c r="H147" s="117">
        <f t="shared" si="42"/>
        <v>0</v>
      </c>
      <c r="I147" s="19" t="e">
        <f t="shared" si="42"/>
        <v>#REF!</v>
      </c>
      <c r="J147" s="117">
        <f t="shared" si="42"/>
        <v>0</v>
      </c>
      <c r="K147" s="117">
        <f t="shared" si="42"/>
        <v>0</v>
      </c>
      <c r="L147" s="117">
        <f t="shared" si="42"/>
        <v>0</v>
      </c>
      <c r="M147" s="117">
        <f t="shared" si="42"/>
        <v>0</v>
      </c>
      <c r="N147" s="117">
        <f t="shared" si="42"/>
        <v>0</v>
      </c>
      <c r="O147" s="117">
        <f t="shared" si="42"/>
        <v>0</v>
      </c>
      <c r="P147" s="117">
        <f t="shared" si="42"/>
        <v>0</v>
      </c>
      <c r="Q147" s="110">
        <f t="shared" si="42"/>
        <v>0</v>
      </c>
      <c r="R147" s="211">
        <f t="shared" si="42"/>
        <v>0</v>
      </c>
    </row>
    <row r="148" spans="1:18" ht="31.5" x14ac:dyDescent="0.25">
      <c r="A148" s="85">
        <v>2</v>
      </c>
      <c r="B148" s="85">
        <v>6</v>
      </c>
      <c r="C148" s="92">
        <v>2</v>
      </c>
      <c r="D148" s="85">
        <v>1</v>
      </c>
      <c r="E148" s="119"/>
      <c r="F148" s="106" t="s">
        <v>114</v>
      </c>
      <c r="G148" s="108"/>
      <c r="H148" s="110">
        <v>0</v>
      </c>
      <c r="I148" s="12">
        <v>0</v>
      </c>
      <c r="J148" s="110">
        <v>0</v>
      </c>
      <c r="K148" s="110"/>
      <c r="L148" s="110"/>
      <c r="M148" s="183"/>
      <c r="N148" s="109"/>
      <c r="O148" s="109"/>
      <c r="P148" s="109"/>
      <c r="Q148" s="182">
        <f>+H148+J148+K148+L148+M148+N148+O148+P148</f>
        <v>0</v>
      </c>
      <c r="R148" s="207">
        <v>0</v>
      </c>
    </row>
    <row r="149" spans="1:18" ht="15.75" x14ac:dyDescent="0.25">
      <c r="A149" s="85">
        <v>2</v>
      </c>
      <c r="B149" s="85">
        <v>6</v>
      </c>
      <c r="C149" s="92">
        <v>2</v>
      </c>
      <c r="D149" s="85">
        <v>3</v>
      </c>
      <c r="E149" s="119"/>
      <c r="F149" s="106" t="s">
        <v>115</v>
      </c>
      <c r="G149" s="108"/>
      <c r="H149" s="110">
        <f>G149*12</f>
        <v>0</v>
      </c>
      <c r="I149" s="12" t="e">
        <f>+G149-#REF!</f>
        <v>#REF!</v>
      </c>
      <c r="J149" s="110"/>
      <c r="K149" s="110"/>
      <c r="L149" s="110"/>
      <c r="M149" s="183"/>
      <c r="N149" s="110"/>
      <c r="O149" s="110"/>
      <c r="P149" s="110"/>
      <c r="Q149" s="103">
        <f>+H149+J149+K149+L149+M149+N149+O149+P149</f>
        <v>0</v>
      </c>
      <c r="R149" s="207"/>
    </row>
    <row r="150" spans="1:18" ht="15.75" x14ac:dyDescent="0.25">
      <c r="A150" s="85"/>
      <c r="B150" s="85"/>
      <c r="C150" s="92"/>
      <c r="D150" s="85"/>
      <c r="E150" s="93"/>
      <c r="F150" s="104"/>
      <c r="G150" s="125"/>
      <c r="H150" s="96"/>
      <c r="I150" s="6"/>
      <c r="J150" s="96"/>
      <c r="K150" s="96"/>
      <c r="L150" s="96"/>
      <c r="M150" s="184"/>
      <c r="N150" s="96"/>
      <c r="O150" s="96"/>
      <c r="P150" s="96"/>
      <c r="Q150" s="96"/>
      <c r="R150" s="202"/>
    </row>
    <row r="151" spans="1:18" ht="48" thickBot="1" x14ac:dyDescent="0.3">
      <c r="A151" s="85">
        <v>2</v>
      </c>
      <c r="B151" s="85">
        <v>6</v>
      </c>
      <c r="C151" s="92">
        <v>4</v>
      </c>
      <c r="D151" s="85"/>
      <c r="E151" s="93"/>
      <c r="F151" s="104" t="s">
        <v>116</v>
      </c>
      <c r="G151" s="125">
        <f>G153+G154+G152</f>
        <v>0</v>
      </c>
      <c r="H151" s="110">
        <f t="shared" ref="H151:R151" si="43">H152+H153</f>
        <v>0</v>
      </c>
      <c r="I151" s="12">
        <f t="shared" si="43"/>
        <v>0</v>
      </c>
      <c r="J151" s="110">
        <f t="shared" si="43"/>
        <v>0</v>
      </c>
      <c r="K151" s="110">
        <f t="shared" si="43"/>
        <v>0</v>
      </c>
      <c r="L151" s="110">
        <f t="shared" si="43"/>
        <v>0</v>
      </c>
      <c r="M151" s="183">
        <f t="shared" si="43"/>
        <v>0</v>
      </c>
      <c r="N151" s="117">
        <f t="shared" si="43"/>
        <v>0</v>
      </c>
      <c r="O151" s="117">
        <f t="shared" si="43"/>
        <v>0</v>
      </c>
      <c r="P151" s="117">
        <f t="shared" si="43"/>
        <v>0</v>
      </c>
      <c r="Q151" s="117">
        <f t="shared" si="43"/>
        <v>0</v>
      </c>
      <c r="R151" s="207">
        <f t="shared" si="43"/>
        <v>0</v>
      </c>
    </row>
    <row r="152" spans="1:18" ht="31.5" x14ac:dyDescent="0.25">
      <c r="A152" s="85">
        <v>2</v>
      </c>
      <c r="B152" s="85">
        <v>6</v>
      </c>
      <c r="C152" s="92">
        <v>4</v>
      </c>
      <c r="D152" s="85"/>
      <c r="E152" s="93"/>
      <c r="F152" s="127" t="s">
        <v>116</v>
      </c>
      <c r="G152" s="100"/>
      <c r="H152" s="109">
        <v>0</v>
      </c>
      <c r="I152" s="13">
        <v>0</v>
      </c>
      <c r="J152" s="109">
        <v>0</v>
      </c>
      <c r="K152" s="109"/>
      <c r="L152" s="109"/>
      <c r="M152" s="109"/>
      <c r="N152" s="110"/>
      <c r="O152" s="110"/>
      <c r="P152" s="110"/>
      <c r="Q152" s="103">
        <f>+H152+J152+K152+L152+M152+N152+O152+P152</f>
        <v>0</v>
      </c>
      <c r="R152" s="208">
        <v>0</v>
      </c>
    </row>
    <row r="153" spans="1:18" ht="15.75" x14ac:dyDescent="0.25">
      <c r="A153" s="85">
        <v>2</v>
      </c>
      <c r="B153" s="85">
        <v>6</v>
      </c>
      <c r="C153" s="92">
        <v>4</v>
      </c>
      <c r="D153" s="85">
        <v>1</v>
      </c>
      <c r="E153" s="85"/>
      <c r="F153" s="127" t="s">
        <v>117</v>
      </c>
      <c r="G153" s="108"/>
      <c r="H153" s="110">
        <v>0</v>
      </c>
      <c r="I153" s="12">
        <v>0</v>
      </c>
      <c r="J153" s="110">
        <v>0</v>
      </c>
      <c r="K153" s="110"/>
      <c r="L153" s="110"/>
      <c r="M153" s="110"/>
      <c r="N153" s="110"/>
      <c r="O153" s="110"/>
      <c r="P153" s="110"/>
      <c r="Q153" s="103">
        <f>+H153+J153+K153+L153+M153</f>
        <v>0</v>
      </c>
      <c r="R153" s="207">
        <v>0</v>
      </c>
    </row>
    <row r="154" spans="1:18" ht="15.75" x14ac:dyDescent="0.25">
      <c r="A154" s="85">
        <v>2</v>
      </c>
      <c r="B154" s="85">
        <v>6</v>
      </c>
      <c r="C154" s="92">
        <v>4</v>
      </c>
      <c r="D154" s="85">
        <v>7</v>
      </c>
      <c r="E154" s="85"/>
      <c r="F154" s="127" t="s">
        <v>118</v>
      </c>
      <c r="G154" s="108">
        <v>0</v>
      </c>
      <c r="H154" s="110">
        <v>0</v>
      </c>
      <c r="I154" s="12">
        <v>0</v>
      </c>
      <c r="J154" s="110">
        <v>0</v>
      </c>
      <c r="K154" s="110"/>
      <c r="L154" s="110"/>
      <c r="M154" s="110"/>
      <c r="N154" s="110"/>
      <c r="O154" s="110"/>
      <c r="P154" s="110"/>
      <c r="Q154" s="103">
        <f>+H154+J154+K154+L154+M154</f>
        <v>0</v>
      </c>
      <c r="R154" s="207">
        <v>0</v>
      </c>
    </row>
    <row r="155" spans="1:18" ht="16.5" thickBot="1" x14ac:dyDescent="0.3">
      <c r="A155" s="85"/>
      <c r="B155" s="85"/>
      <c r="C155" s="92"/>
      <c r="D155" s="84"/>
      <c r="E155" s="85"/>
      <c r="F155" s="127"/>
      <c r="G155" s="111"/>
      <c r="H155" s="117"/>
      <c r="I155" s="12"/>
      <c r="J155" s="117"/>
      <c r="K155" s="117"/>
      <c r="L155" s="117"/>
      <c r="M155" s="117"/>
      <c r="N155" s="117"/>
      <c r="O155" s="117"/>
      <c r="P155" s="117"/>
      <c r="Q155" s="117"/>
      <c r="R155" s="207"/>
    </row>
    <row r="156" spans="1:18" ht="16.5" thickBot="1" x14ac:dyDescent="0.3">
      <c r="A156" s="137"/>
      <c r="B156" s="137"/>
      <c r="C156" s="138"/>
      <c r="D156" s="139"/>
      <c r="E156" s="139"/>
      <c r="F156" s="140" t="s">
        <v>119</v>
      </c>
      <c r="G156" s="95">
        <f t="shared" ref="G156:R156" si="44">G112+G52+G12</f>
        <v>54039167.5</v>
      </c>
      <c r="H156" s="165">
        <f t="shared" si="44"/>
        <v>3087103.98</v>
      </c>
      <c r="I156" s="165" t="e">
        <f t="shared" si="44"/>
        <v>#REF!</v>
      </c>
      <c r="J156" s="165">
        <f t="shared" si="44"/>
        <v>3272561.4400000004</v>
      </c>
      <c r="K156" s="165">
        <f t="shared" si="44"/>
        <v>3296314.58</v>
      </c>
      <c r="L156" s="165">
        <f t="shared" si="44"/>
        <v>3958386.4610000001</v>
      </c>
      <c r="M156" s="165">
        <f t="shared" si="44"/>
        <v>3698270.74</v>
      </c>
      <c r="N156" s="165">
        <f t="shared" si="44"/>
        <v>3595808.3900000006</v>
      </c>
      <c r="O156" s="165">
        <f t="shared" si="44"/>
        <v>3869378.4699999997</v>
      </c>
      <c r="P156" s="165">
        <f t="shared" si="44"/>
        <v>4342702.32</v>
      </c>
      <c r="Q156" s="222">
        <f t="shared" si="44"/>
        <v>29120526.380999997</v>
      </c>
      <c r="R156" s="223">
        <f t="shared" si="44"/>
        <v>24918642.118999999</v>
      </c>
    </row>
    <row r="157" spans="1:18" ht="15.75" x14ac:dyDescent="0.25">
      <c r="A157" s="141"/>
      <c r="B157" s="141"/>
      <c r="C157" s="66"/>
      <c r="D157" s="66"/>
      <c r="E157" s="66"/>
      <c r="F157" s="66"/>
      <c r="G157" s="142"/>
      <c r="H157" s="143"/>
      <c r="I157" s="1"/>
      <c r="J157" s="23"/>
      <c r="K157" s="23"/>
      <c r="L157" s="23"/>
      <c r="M157" s="23"/>
      <c r="N157" s="23"/>
      <c r="O157" s="23"/>
      <c r="P157" s="23"/>
      <c r="Q157" s="23"/>
      <c r="R157" s="162"/>
    </row>
    <row r="158" spans="1:18" ht="18" x14ac:dyDescent="0.25">
      <c r="A158" s="141"/>
      <c r="B158" s="141"/>
      <c r="C158" s="66"/>
      <c r="D158" s="66"/>
      <c r="E158" s="144"/>
      <c r="F158" s="145"/>
      <c r="G158" s="142"/>
      <c r="H158" s="146"/>
      <c r="I158" s="31"/>
      <c r="J158" s="23"/>
      <c r="K158" s="23"/>
      <c r="L158" s="23"/>
      <c r="M158" s="23"/>
      <c r="N158" s="23"/>
      <c r="O158" s="23"/>
      <c r="P158" s="23"/>
      <c r="Q158" s="23"/>
      <c r="R158" s="173"/>
    </row>
    <row r="159" spans="1:18" ht="18" x14ac:dyDescent="0.25">
      <c r="A159" s="141"/>
      <c r="B159" s="141"/>
      <c r="C159" s="66"/>
      <c r="D159" s="66"/>
      <c r="E159" s="147"/>
      <c r="F159" s="148"/>
      <c r="G159" s="149">
        <v>54039167</v>
      </c>
      <c r="H159" s="150"/>
      <c r="I159" s="33"/>
      <c r="J159" s="34"/>
      <c r="K159" s="34"/>
      <c r="L159" s="34"/>
      <c r="M159" s="34"/>
      <c r="N159" s="34"/>
      <c r="O159" s="34"/>
      <c r="P159" s="34"/>
      <c r="Q159" s="34"/>
      <c r="R159" s="187"/>
    </row>
    <row r="160" spans="1:18" ht="19.5" thickBot="1" x14ac:dyDescent="0.35">
      <c r="A160" s="64"/>
      <c r="B160" s="64"/>
      <c r="C160" s="64"/>
      <c r="D160" s="64"/>
      <c r="E160" s="64"/>
      <c r="F160" s="148"/>
      <c r="G160" s="151"/>
      <c r="H160" s="151"/>
      <c r="I160" s="35"/>
      <c r="J160" s="37"/>
      <c r="K160" s="37"/>
      <c r="L160" s="37"/>
      <c r="M160" s="37"/>
      <c r="N160" s="37"/>
      <c r="O160" s="37"/>
      <c r="P160" s="37"/>
      <c r="Q160" s="37"/>
      <c r="R160" s="188"/>
    </row>
    <row r="161" spans="1:20" ht="18.75" x14ac:dyDescent="0.3">
      <c r="A161" s="64"/>
      <c r="B161" s="64"/>
      <c r="C161" s="64"/>
      <c r="D161" s="64"/>
      <c r="E161" s="64"/>
      <c r="F161" s="152" t="s">
        <v>120</v>
      </c>
      <c r="G161" s="225"/>
      <c r="H161" s="225"/>
      <c r="I161" s="226"/>
      <c r="J161" s="39"/>
      <c r="K161" s="39"/>
      <c r="L161" s="39"/>
      <c r="M161" s="39"/>
      <c r="N161" s="39"/>
      <c r="O161" s="39"/>
      <c r="P161" s="39"/>
      <c r="Q161" s="39"/>
      <c r="R161" s="189"/>
    </row>
    <row r="162" spans="1:20" ht="18.75" x14ac:dyDescent="0.3">
      <c r="A162" s="64"/>
      <c r="B162" s="64"/>
      <c r="C162" s="64"/>
      <c r="D162" s="64"/>
      <c r="E162" s="64"/>
      <c r="F162" s="148" t="s">
        <v>121</v>
      </c>
      <c r="G162" s="227"/>
      <c r="H162" s="225"/>
      <c r="I162" s="43"/>
      <c r="J162" s="238"/>
      <c r="K162" s="238"/>
      <c r="L162" s="238"/>
      <c r="M162" s="39"/>
      <c r="N162" s="39"/>
      <c r="O162" s="39"/>
      <c r="P162" s="39"/>
      <c r="Q162" s="39"/>
      <c r="R162" s="190"/>
    </row>
    <row r="163" spans="1:20" ht="18.75" x14ac:dyDescent="0.3">
      <c r="A163" s="64"/>
      <c r="B163" s="64"/>
      <c r="C163" s="64"/>
      <c r="D163" s="64"/>
      <c r="E163" s="64"/>
      <c r="F163" s="148"/>
      <c r="G163" s="237" t="s">
        <v>144</v>
      </c>
      <c r="H163" s="225">
        <v>960000</v>
      </c>
      <c r="I163" s="225"/>
      <c r="J163" s="239">
        <f>84525+M162</f>
        <v>84525</v>
      </c>
      <c r="K163" s="239">
        <f>+H163-J163</f>
        <v>875475</v>
      </c>
      <c r="L163" s="238"/>
      <c r="M163" s="39"/>
      <c r="N163" s="39"/>
      <c r="O163" s="39"/>
      <c r="P163" s="39"/>
      <c r="Q163" s="39"/>
      <c r="R163" s="190"/>
    </row>
    <row r="164" spans="1:20" ht="18.75" customHeight="1" x14ac:dyDescent="0.3">
      <c r="A164" s="64"/>
      <c r="B164" s="64"/>
      <c r="C164" s="64"/>
      <c r="D164" s="64"/>
      <c r="E164" s="64"/>
      <c r="F164" s="148"/>
      <c r="G164" s="237"/>
      <c r="H164" s="176"/>
      <c r="I164" s="225"/>
      <c r="J164" s="225"/>
      <c r="K164" s="225"/>
      <c r="L164" s="240"/>
      <c r="M164" s="228"/>
      <c r="N164" s="161"/>
      <c r="O164" s="161"/>
      <c r="P164" s="161"/>
      <c r="Q164" s="161"/>
      <c r="R164" s="190"/>
    </row>
    <row r="165" spans="1:20" ht="18" customHeight="1" x14ac:dyDescent="0.25">
      <c r="A165" s="64"/>
      <c r="B165" s="64"/>
      <c r="C165" s="64"/>
      <c r="D165" s="64"/>
      <c r="E165" s="64"/>
      <c r="F165" s="148"/>
      <c r="G165" s="237"/>
      <c r="H165" s="176"/>
      <c r="I165" s="225"/>
      <c r="J165" s="176"/>
      <c r="K165" s="176"/>
      <c r="L165" s="241"/>
      <c r="M165" s="23"/>
      <c r="N165" s="11"/>
      <c r="O165" s="11"/>
      <c r="P165" s="11"/>
      <c r="Q165" s="11"/>
      <c r="R165" s="190"/>
      <c r="T165" s="11"/>
    </row>
    <row r="166" spans="1:20" ht="44.25" thickBot="1" x14ac:dyDescent="0.3">
      <c r="A166" s="64"/>
      <c r="B166" s="64"/>
      <c r="C166" s="64"/>
      <c r="D166" s="64"/>
      <c r="E166" s="64"/>
      <c r="F166" s="156"/>
      <c r="G166" s="237" t="s">
        <v>145</v>
      </c>
      <c r="H166" s="176">
        <v>1800000</v>
      </c>
      <c r="I166" s="225"/>
      <c r="J166" s="176">
        <v>69423.5</v>
      </c>
      <c r="K166" s="176">
        <f>+H166-J166</f>
        <v>1730576.5</v>
      </c>
      <c r="L166" s="241"/>
      <c r="M166" s="23"/>
      <c r="N166" s="23"/>
      <c r="O166" s="23"/>
      <c r="P166" s="23"/>
      <c r="Q166" s="23"/>
      <c r="R166" s="189"/>
    </row>
    <row r="167" spans="1:20" ht="18" x14ac:dyDescent="0.25">
      <c r="A167" s="64"/>
      <c r="B167" s="64"/>
      <c r="C167" s="64"/>
      <c r="D167" s="64"/>
      <c r="E167" s="64"/>
      <c r="F167" s="148" t="s">
        <v>122</v>
      </c>
      <c r="G167" s="229"/>
      <c r="H167" s="241"/>
      <c r="I167" s="43"/>
      <c r="J167" s="241"/>
      <c r="K167" s="241"/>
      <c r="L167" s="241"/>
      <c r="M167" s="23"/>
      <c r="N167" s="23"/>
      <c r="O167" s="23"/>
      <c r="P167" s="23"/>
      <c r="Q167" s="23"/>
      <c r="R167" s="189"/>
    </row>
    <row r="168" spans="1:20" ht="18" x14ac:dyDescent="0.25">
      <c r="A168" s="64"/>
      <c r="B168" s="64"/>
      <c r="C168" s="64"/>
      <c r="D168" s="64"/>
      <c r="E168" s="64"/>
      <c r="F168" s="148" t="s">
        <v>123</v>
      </c>
      <c r="G168" s="229"/>
      <c r="H168" s="241"/>
      <c r="I168" s="43"/>
      <c r="J168" s="241"/>
      <c r="K168" s="241"/>
      <c r="L168" s="241"/>
      <c r="M168" s="23"/>
      <c r="N168" s="23"/>
      <c r="O168" s="23"/>
      <c r="P168" s="23"/>
      <c r="Q168" s="23"/>
      <c r="R168" s="189"/>
    </row>
    <row r="169" spans="1:20" ht="18" customHeight="1" x14ac:dyDescent="0.25">
      <c r="A169" s="64"/>
      <c r="B169" s="64"/>
      <c r="C169" s="64"/>
      <c r="D169" s="64"/>
      <c r="E169" s="64"/>
      <c r="F169" s="148"/>
      <c r="G169" s="151"/>
      <c r="H169" s="241"/>
      <c r="I169" s="48"/>
      <c r="J169" s="241"/>
      <c r="K169" s="241"/>
      <c r="L169" s="241"/>
      <c r="M169" s="23"/>
      <c r="N169" s="23"/>
      <c r="O169" s="23"/>
      <c r="P169" s="23"/>
      <c r="Q169" s="23"/>
      <c r="R169" s="191"/>
      <c r="S169" s="11"/>
    </row>
    <row r="170" spans="1:20" ht="15.75" x14ac:dyDescent="0.25">
      <c r="A170" s="64"/>
      <c r="B170" s="64"/>
      <c r="C170" s="64"/>
      <c r="D170" s="64"/>
      <c r="E170" s="64"/>
      <c r="F170" s="141"/>
      <c r="G170" s="159"/>
      <c r="H170" s="241"/>
      <c r="I170" s="43"/>
      <c r="J170" s="241"/>
      <c r="K170" s="171"/>
      <c r="L170" s="171"/>
      <c r="M170" s="171"/>
      <c r="N170" s="171"/>
      <c r="O170" s="171"/>
      <c r="P170" s="171"/>
      <c r="Q170" s="23"/>
      <c r="R170" s="190"/>
    </row>
    <row r="171" spans="1:20" ht="19.5" customHeight="1" x14ac:dyDescent="0.25">
      <c r="A171" s="64"/>
      <c r="B171" s="64"/>
      <c r="C171" s="64"/>
      <c r="D171" s="64"/>
      <c r="E171" s="64"/>
      <c r="F171" s="141"/>
      <c r="G171" s="148"/>
      <c r="H171" s="158"/>
      <c r="I171" s="43"/>
      <c r="J171" s="23"/>
      <c r="K171" s="170"/>
      <c r="L171" s="170"/>
      <c r="M171" s="170"/>
      <c r="N171" s="179"/>
      <c r="O171" s="179"/>
      <c r="P171" s="179"/>
      <c r="Q171" s="23"/>
      <c r="R171" s="190"/>
    </row>
    <row r="172" spans="1:20" ht="19.5" customHeight="1" x14ac:dyDescent="0.25">
      <c r="A172" s="64"/>
      <c r="B172" s="64"/>
      <c r="C172" s="64"/>
      <c r="D172" s="64"/>
      <c r="E172" s="64"/>
      <c r="F172" s="141"/>
      <c r="G172" s="148"/>
      <c r="H172" s="158"/>
      <c r="I172" s="43"/>
      <c r="J172" s="23"/>
      <c r="K172" s="170"/>
      <c r="L172" s="170"/>
      <c r="M172" s="170"/>
      <c r="N172" s="179"/>
      <c r="O172" s="179"/>
      <c r="P172" s="179"/>
      <c r="Q172" s="23"/>
      <c r="R172" s="190"/>
    </row>
    <row r="173" spans="1:20" ht="19.5" customHeight="1" x14ac:dyDescent="0.25">
      <c r="A173" s="64"/>
      <c r="B173" s="64"/>
      <c r="C173" s="64"/>
      <c r="D173" s="64"/>
      <c r="E173" s="64"/>
      <c r="F173" s="64"/>
      <c r="G173" s="64"/>
      <c r="H173" s="160"/>
      <c r="I173" s="56"/>
      <c r="J173" s="23"/>
      <c r="K173" s="170"/>
      <c r="L173" s="170"/>
      <c r="M173" s="170"/>
      <c r="N173" s="179"/>
      <c r="O173" s="179"/>
      <c r="P173" s="179"/>
      <c r="Q173" s="23"/>
      <c r="R173" s="190"/>
    </row>
    <row r="174" spans="1:20" x14ac:dyDescent="0.25">
      <c r="A174" s="64"/>
      <c r="B174" s="64"/>
      <c r="C174" s="64"/>
      <c r="D174" s="64"/>
      <c r="E174" s="64"/>
      <c r="F174" s="64"/>
      <c r="G174" s="64"/>
      <c r="H174" s="160"/>
      <c r="I174" s="56"/>
      <c r="J174" s="23"/>
      <c r="K174" s="178"/>
      <c r="L174" s="178"/>
      <c r="M174" s="178"/>
      <c r="N174" s="179"/>
      <c r="O174" s="179"/>
      <c r="P174" s="179"/>
      <c r="Q174" s="23"/>
      <c r="R174" s="190"/>
    </row>
    <row r="175" spans="1:20" ht="18" customHeight="1" thickBot="1" x14ac:dyDescent="0.3">
      <c r="A175" s="64"/>
      <c r="B175" s="64"/>
      <c r="C175" s="64"/>
      <c r="D175" s="64"/>
      <c r="E175" s="64"/>
      <c r="F175" s="156"/>
      <c r="G175" s="64"/>
      <c r="H175" s="160"/>
      <c r="I175" s="56"/>
      <c r="J175" s="23"/>
      <c r="K175" s="171"/>
      <c r="L175" s="171"/>
      <c r="M175" s="171"/>
      <c r="N175" s="179"/>
      <c r="O175" s="179"/>
      <c r="P175" s="179"/>
      <c r="Q175" s="23"/>
      <c r="R175" s="190"/>
    </row>
    <row r="176" spans="1:20" ht="18" customHeight="1" x14ac:dyDescent="0.25">
      <c r="A176" s="64"/>
      <c r="B176" s="64"/>
      <c r="C176" s="64"/>
      <c r="D176" s="64"/>
      <c r="E176" s="64"/>
      <c r="F176" s="148" t="s">
        <v>124</v>
      </c>
      <c r="G176" s="64"/>
      <c r="H176" s="160"/>
      <c r="I176" s="56"/>
      <c r="J176" s="23"/>
      <c r="K176" s="171"/>
      <c r="L176" s="171"/>
      <c r="M176" s="171"/>
      <c r="N176" s="178"/>
      <c r="O176" s="178"/>
      <c r="P176" s="178"/>
      <c r="Q176" s="23"/>
      <c r="R176" s="190"/>
    </row>
    <row r="177" spans="1:20" ht="15" customHeight="1" x14ac:dyDescent="0.25">
      <c r="A177" s="64"/>
      <c r="B177" s="64"/>
      <c r="C177" s="64"/>
      <c r="D177" s="64"/>
      <c r="E177" s="64"/>
      <c r="F177" s="148" t="s">
        <v>125</v>
      </c>
      <c r="G177" s="64"/>
      <c r="H177" s="160"/>
      <c r="I177" s="23"/>
      <c r="J177" s="23"/>
      <c r="K177" s="171"/>
      <c r="L177" s="171"/>
      <c r="M177" s="171"/>
      <c r="N177" s="178"/>
      <c r="O177" s="178"/>
      <c r="P177" s="178"/>
      <c r="Q177" s="23"/>
      <c r="R177" s="190"/>
      <c r="S177" s="23"/>
    </row>
    <row r="178" spans="1:20" ht="15" customHeight="1" x14ac:dyDescent="0.25">
      <c r="A178" s="64"/>
      <c r="B178" s="64"/>
      <c r="C178" s="64"/>
      <c r="D178" s="64"/>
      <c r="E178" s="64"/>
      <c r="F178" s="148"/>
      <c r="G178" s="64"/>
      <c r="H178" s="160"/>
      <c r="I178" s="23"/>
      <c r="J178" s="23"/>
      <c r="K178" s="23"/>
      <c r="L178" s="23"/>
      <c r="M178" s="23"/>
      <c r="N178" s="178"/>
      <c r="O178" s="178"/>
      <c r="P178" s="178"/>
      <c r="Q178" s="23"/>
      <c r="R178" s="190"/>
      <c r="S178" s="23"/>
    </row>
    <row r="179" spans="1:20" ht="15" customHeight="1" x14ac:dyDescent="0.25">
      <c r="A179" s="64"/>
      <c r="B179" s="64"/>
      <c r="C179" s="64"/>
      <c r="D179" s="64"/>
      <c r="E179" s="64"/>
      <c r="F179" s="64"/>
      <c r="G179" s="64"/>
      <c r="H179" s="65"/>
      <c r="I179" s="23"/>
      <c r="J179" s="23"/>
      <c r="K179" s="23"/>
      <c r="L179" s="23"/>
      <c r="M179" s="23"/>
      <c r="N179" s="178"/>
      <c r="O179" s="178"/>
      <c r="P179" s="178"/>
      <c r="Q179" s="23"/>
      <c r="R179" s="190"/>
      <c r="S179" s="23"/>
    </row>
    <row r="180" spans="1:20" ht="15" customHeight="1" x14ac:dyDescent="0.25">
      <c r="A180" s="64"/>
      <c r="B180" s="64"/>
      <c r="C180" s="64"/>
      <c r="D180" s="64"/>
      <c r="E180" s="64"/>
      <c r="F180" s="64"/>
      <c r="G180" s="64"/>
      <c r="H180" s="65"/>
      <c r="I180" s="23"/>
      <c r="J180" s="23"/>
      <c r="K180" s="23"/>
      <c r="L180" s="23"/>
      <c r="M180" s="23"/>
      <c r="N180" s="178"/>
      <c r="O180" s="178"/>
      <c r="P180" s="178"/>
      <c r="Q180" s="23"/>
      <c r="R180" s="190"/>
      <c r="S180" s="23"/>
    </row>
    <row r="181" spans="1:20" ht="29.25" customHeight="1" x14ac:dyDescent="0.25">
      <c r="A181" s="64"/>
      <c r="B181" s="64"/>
      <c r="C181" s="64"/>
      <c r="D181" s="64"/>
      <c r="E181" s="64"/>
      <c r="F181" s="64"/>
      <c r="G181" s="64"/>
      <c r="H181" s="65"/>
      <c r="I181" s="23"/>
      <c r="J181" s="23"/>
      <c r="K181" s="23"/>
      <c r="L181" s="23"/>
      <c r="M181" s="23"/>
      <c r="N181" s="178"/>
      <c r="O181" s="178"/>
      <c r="P181" s="178"/>
      <c r="Q181" s="23"/>
      <c r="R181" s="190"/>
      <c r="S181" s="23"/>
    </row>
    <row r="182" spans="1:20" ht="15" customHeight="1" x14ac:dyDescent="0.25">
      <c r="A182" s="64"/>
      <c r="B182" s="64"/>
      <c r="C182" s="64"/>
      <c r="D182" s="64"/>
      <c r="E182" s="64"/>
      <c r="G182" s="64"/>
      <c r="H182" s="65"/>
      <c r="I182" s="23"/>
      <c r="J182" s="23"/>
      <c r="K182" s="23"/>
      <c r="L182" s="23"/>
      <c r="M182" s="23"/>
      <c r="N182" s="171"/>
      <c r="O182" s="171"/>
      <c r="P182" s="171"/>
      <c r="Q182" s="23"/>
      <c r="R182" s="190"/>
      <c r="S182" s="23"/>
    </row>
    <row r="183" spans="1:20" x14ac:dyDescent="0.25">
      <c r="A183" s="64"/>
      <c r="B183" s="64"/>
      <c r="C183" s="64"/>
      <c r="D183" s="64"/>
      <c r="E183" s="64"/>
      <c r="G183" s="64"/>
      <c r="H183" s="65"/>
      <c r="I183" s="23"/>
      <c r="J183" s="23"/>
      <c r="K183" s="23"/>
      <c r="L183" s="23"/>
      <c r="M183" s="23"/>
      <c r="N183" s="172"/>
      <c r="O183" s="172"/>
      <c r="P183" s="172"/>
      <c r="Q183" s="23"/>
      <c r="R183" s="190"/>
      <c r="S183" s="23"/>
    </row>
    <row r="184" spans="1:20" ht="15" customHeight="1" x14ac:dyDescent="0.25">
      <c r="A184" s="64"/>
      <c r="B184" s="64"/>
      <c r="C184" s="64"/>
      <c r="D184" s="64"/>
      <c r="E184" s="64"/>
      <c r="F184" s="64"/>
      <c r="G184" s="64"/>
      <c r="H184" s="65"/>
      <c r="I184" s="23"/>
      <c r="J184" s="23"/>
      <c r="K184" s="23"/>
      <c r="L184" s="23"/>
      <c r="M184" s="23"/>
      <c r="N184" s="235"/>
      <c r="O184" s="235"/>
      <c r="P184" s="235"/>
      <c r="Q184" s="23"/>
      <c r="R184" s="190"/>
      <c r="S184" s="11"/>
      <c r="T184" s="11"/>
    </row>
    <row r="185" spans="1:20" ht="15" customHeight="1" x14ac:dyDescent="0.25">
      <c r="A185" s="64"/>
      <c r="B185" s="64"/>
      <c r="C185" s="64"/>
      <c r="D185" s="64"/>
      <c r="E185" s="64"/>
      <c r="F185" s="64"/>
      <c r="G185" s="64"/>
      <c r="H185" s="65"/>
      <c r="I185" s="23"/>
      <c r="J185" s="23"/>
      <c r="K185" s="23"/>
      <c r="L185" s="23"/>
      <c r="M185" s="23"/>
      <c r="N185" s="172"/>
      <c r="O185" s="172"/>
      <c r="P185" s="172"/>
      <c r="Q185" s="23"/>
      <c r="R185" s="192"/>
    </row>
    <row r="186" spans="1:20" ht="15.75" customHeight="1" x14ac:dyDescent="0.25">
      <c r="A186" s="64"/>
      <c r="B186" s="64"/>
      <c r="C186" s="64"/>
      <c r="D186" s="64"/>
      <c r="E186" s="64"/>
      <c r="F186" s="64"/>
      <c r="G186" s="64"/>
      <c r="H186" s="65"/>
      <c r="I186" s="23"/>
      <c r="J186" s="23"/>
      <c r="K186" s="23"/>
      <c r="L186" s="23"/>
      <c r="M186" s="23"/>
      <c r="N186" s="235"/>
      <c r="O186" s="235"/>
      <c r="P186" s="235"/>
      <c r="Q186" s="23"/>
      <c r="R186" s="192"/>
      <c r="S186" s="11"/>
    </row>
    <row r="187" spans="1:20" x14ac:dyDescent="0.25">
      <c r="H187" s="30"/>
      <c r="I187" s="23"/>
      <c r="J187" s="23"/>
      <c r="K187" s="23"/>
      <c r="L187" s="23"/>
      <c r="M187" s="23"/>
      <c r="N187" s="46"/>
      <c r="O187" s="46"/>
      <c r="P187" s="46"/>
      <c r="Q187" s="23"/>
      <c r="R187" s="193"/>
    </row>
    <row r="188" spans="1:20" x14ac:dyDescent="0.25">
      <c r="I188" s="23"/>
      <c r="J188" s="23"/>
      <c r="K188" s="23"/>
      <c r="L188" s="23"/>
      <c r="M188" s="23"/>
      <c r="N188" s="23"/>
      <c r="O188" s="23"/>
      <c r="P188" s="23"/>
      <c r="Q188" s="23"/>
      <c r="R188" s="193"/>
    </row>
    <row r="189" spans="1:20" x14ac:dyDescent="0.25">
      <c r="I189" s="23"/>
      <c r="J189" s="23"/>
      <c r="K189" s="23"/>
      <c r="L189" s="23"/>
      <c r="M189" s="23"/>
      <c r="N189" s="23"/>
      <c r="O189" s="23"/>
      <c r="P189" s="23"/>
      <c r="Q189" s="23"/>
      <c r="R189" s="193"/>
    </row>
    <row r="190" spans="1:20" x14ac:dyDescent="0.25">
      <c r="I190" s="23"/>
      <c r="J190" s="23"/>
      <c r="K190" s="23"/>
      <c r="L190" s="23"/>
      <c r="M190" s="23"/>
      <c r="N190" s="23"/>
      <c r="O190" s="23"/>
      <c r="P190" s="23"/>
      <c r="Q190" s="23"/>
      <c r="R190" s="193"/>
    </row>
    <row r="191" spans="1:20" x14ac:dyDescent="0.25">
      <c r="I191" s="23"/>
      <c r="J191" s="23"/>
      <c r="K191" s="23"/>
      <c r="L191" s="23"/>
      <c r="M191" s="23"/>
      <c r="N191" s="23"/>
      <c r="O191" s="23"/>
      <c r="P191" s="23"/>
      <c r="Q191" s="23"/>
      <c r="R191" s="193"/>
    </row>
    <row r="192" spans="1:20" x14ac:dyDescent="0.25">
      <c r="I192" s="23"/>
      <c r="J192" s="23"/>
      <c r="K192" s="23"/>
      <c r="L192" s="23"/>
      <c r="M192" s="23"/>
      <c r="N192" s="23"/>
      <c r="O192" s="23"/>
      <c r="P192" s="23"/>
      <c r="Q192" s="23"/>
      <c r="R192" s="164"/>
    </row>
    <row r="193" spans="9:18" x14ac:dyDescent="0.25">
      <c r="I193" s="23"/>
      <c r="J193" s="23"/>
      <c r="K193" s="23"/>
      <c r="L193" s="23"/>
      <c r="M193" s="23"/>
      <c r="N193" s="23"/>
      <c r="O193" s="23"/>
      <c r="P193" s="23"/>
      <c r="Q193" s="23"/>
      <c r="R193" s="179"/>
    </row>
    <row r="194" spans="9:18" x14ac:dyDescent="0.25">
      <c r="I194" s="23"/>
      <c r="J194" s="23"/>
      <c r="K194" s="23"/>
      <c r="L194" s="23"/>
      <c r="M194" s="23"/>
      <c r="N194" s="23"/>
      <c r="O194" s="23"/>
      <c r="P194" s="23"/>
      <c r="Q194" s="23"/>
      <c r="R194" s="164"/>
    </row>
    <row r="195" spans="9:18" x14ac:dyDescent="0.25">
      <c r="I195" s="23"/>
      <c r="J195" s="23"/>
      <c r="K195" s="23"/>
      <c r="L195" s="23"/>
      <c r="M195" s="23"/>
      <c r="N195" s="23"/>
      <c r="O195" s="23"/>
      <c r="P195" s="23"/>
      <c r="Q195" s="23"/>
      <c r="R195" s="164"/>
    </row>
    <row r="196" spans="9:18" x14ac:dyDescent="0.25">
      <c r="I196" s="23"/>
      <c r="J196" s="23"/>
      <c r="K196" s="23"/>
      <c r="L196" s="23"/>
      <c r="M196" s="23"/>
      <c r="N196" s="23"/>
      <c r="O196" s="23"/>
      <c r="P196" s="23"/>
      <c r="Q196" s="23"/>
      <c r="R196" s="164"/>
    </row>
    <row r="197" spans="9:18" x14ac:dyDescent="0.25">
      <c r="I197" s="23"/>
      <c r="J197" s="23"/>
      <c r="K197" s="23"/>
      <c r="L197" s="23"/>
      <c r="M197" s="23"/>
      <c r="N197" s="23"/>
      <c r="O197" s="23"/>
      <c r="P197" s="23"/>
      <c r="Q197" s="23"/>
      <c r="R197" s="164"/>
    </row>
    <row r="198" spans="9:18" x14ac:dyDescent="0.25">
      <c r="I198" s="23"/>
      <c r="J198" s="23"/>
      <c r="K198" s="23"/>
      <c r="L198" s="23"/>
      <c r="M198" s="23"/>
      <c r="N198" s="23"/>
      <c r="O198" s="23"/>
      <c r="P198" s="23"/>
      <c r="Q198" s="23"/>
      <c r="R198" s="164"/>
    </row>
    <row r="199" spans="9:18" x14ac:dyDescent="0.25">
      <c r="I199" s="23"/>
      <c r="J199" s="23"/>
      <c r="K199" s="23"/>
      <c r="L199" s="23"/>
      <c r="M199" s="23"/>
      <c r="N199" s="23"/>
      <c r="O199" s="23"/>
      <c r="P199" s="23"/>
      <c r="Q199" s="23"/>
      <c r="R199" s="163"/>
    </row>
    <row r="200" spans="9:18" x14ac:dyDescent="0.25">
      <c r="I200" s="23"/>
      <c r="J200" s="23"/>
      <c r="K200" s="23"/>
      <c r="L200" s="23"/>
      <c r="M200" s="23"/>
      <c r="N200" s="23"/>
      <c r="O200" s="23"/>
      <c r="P200" s="23"/>
      <c r="Q200" s="23"/>
      <c r="R200" s="163"/>
    </row>
    <row r="201" spans="9:18" x14ac:dyDescent="0.25">
      <c r="I201" s="23"/>
      <c r="J201" s="23"/>
      <c r="K201" s="23"/>
      <c r="L201" s="23"/>
      <c r="M201" s="23"/>
      <c r="N201" s="23"/>
      <c r="O201" s="23"/>
      <c r="P201" s="23"/>
      <c r="Q201" s="23"/>
      <c r="R201" s="163"/>
    </row>
    <row r="202" spans="9:18" x14ac:dyDescent="0.25">
      <c r="I202" s="23"/>
      <c r="J202" s="23"/>
      <c r="K202" s="23"/>
      <c r="L202" s="23"/>
      <c r="M202" s="23"/>
      <c r="N202" s="23"/>
      <c r="O202" s="23"/>
      <c r="P202" s="23"/>
      <c r="Q202" s="23"/>
      <c r="R202" s="163"/>
    </row>
    <row r="203" spans="9:18" x14ac:dyDescent="0.25">
      <c r="I203" s="23"/>
      <c r="J203" s="23"/>
      <c r="K203" s="23"/>
      <c r="L203" s="23"/>
      <c r="M203" s="23"/>
      <c r="N203" s="23"/>
      <c r="O203" s="23"/>
      <c r="P203" s="23"/>
      <c r="Q203" s="23"/>
      <c r="R203" s="163"/>
    </row>
    <row r="204" spans="9:18" x14ac:dyDescent="0.25">
      <c r="I204" s="23"/>
      <c r="J204" s="23"/>
      <c r="K204" s="23"/>
      <c r="L204" s="23"/>
      <c r="M204" s="23"/>
      <c r="N204" s="23"/>
      <c r="O204" s="23"/>
      <c r="P204" s="23"/>
      <c r="Q204" s="23"/>
      <c r="R204" s="163"/>
    </row>
    <row r="205" spans="9:18" x14ac:dyDescent="0.25">
      <c r="I205" s="23"/>
      <c r="J205" s="23"/>
      <c r="K205" s="23"/>
      <c r="L205" s="23"/>
      <c r="M205" s="23"/>
      <c r="N205" s="23"/>
      <c r="O205" s="23"/>
      <c r="P205" s="23"/>
      <c r="Q205" s="23"/>
      <c r="R205" s="163"/>
    </row>
    <row r="206" spans="9:18" x14ac:dyDescent="0.25">
      <c r="I206" s="23"/>
      <c r="J206" s="23"/>
      <c r="K206" s="23"/>
      <c r="L206" s="23"/>
      <c r="M206" s="23"/>
      <c r="N206" s="23"/>
      <c r="O206" s="23"/>
      <c r="P206" s="23"/>
      <c r="Q206" s="23"/>
      <c r="R206" s="163"/>
    </row>
    <row r="207" spans="9:18" x14ac:dyDescent="0.25">
      <c r="I207" s="23"/>
      <c r="J207" s="23"/>
      <c r="K207" s="23"/>
      <c r="L207" s="23"/>
      <c r="M207" s="23"/>
      <c r="N207" s="23"/>
      <c r="O207" s="23"/>
      <c r="P207" s="23"/>
      <c r="Q207" s="23"/>
      <c r="R207" s="163"/>
    </row>
    <row r="208" spans="9:18" x14ac:dyDescent="0.25">
      <c r="I208" s="23"/>
      <c r="J208" s="23"/>
      <c r="K208" s="23"/>
      <c r="L208" s="23"/>
      <c r="M208" s="23"/>
      <c r="N208" s="23"/>
      <c r="O208" s="23"/>
      <c r="P208" s="23"/>
      <c r="Q208" s="23"/>
      <c r="R208" s="163"/>
    </row>
    <row r="209" spans="9:18" x14ac:dyDescent="0.25">
      <c r="I209" s="23"/>
      <c r="J209" s="23"/>
      <c r="K209" s="23"/>
      <c r="L209" s="23"/>
      <c r="M209" s="23"/>
      <c r="N209" s="23"/>
      <c r="O209" s="23"/>
      <c r="P209" s="23"/>
      <c r="Q209" s="23"/>
      <c r="R209" s="163"/>
    </row>
    <row r="210" spans="9:18" x14ac:dyDescent="0.25">
      <c r="I210" s="23"/>
      <c r="J210" s="23"/>
      <c r="K210" s="23"/>
      <c r="L210" s="23"/>
      <c r="M210" s="23"/>
      <c r="N210" s="23"/>
      <c r="O210" s="23"/>
      <c r="P210" s="23"/>
      <c r="Q210" s="23"/>
      <c r="R210" s="163"/>
    </row>
    <row r="211" spans="9:18" x14ac:dyDescent="0.25">
      <c r="I211" s="23"/>
      <c r="J211" s="23"/>
      <c r="K211" s="23"/>
      <c r="L211" s="23"/>
      <c r="M211" s="23"/>
      <c r="N211" s="23"/>
      <c r="O211" s="23"/>
      <c r="P211" s="23"/>
      <c r="Q211" s="23"/>
      <c r="R211" s="163"/>
    </row>
    <row r="212" spans="9:18" x14ac:dyDescent="0.25">
      <c r="I212" s="23"/>
      <c r="J212" s="23"/>
      <c r="K212" s="23"/>
      <c r="L212" s="23"/>
      <c r="M212" s="23"/>
      <c r="N212" s="23"/>
      <c r="O212" s="23"/>
      <c r="P212" s="23"/>
      <c r="Q212" s="23"/>
      <c r="R212" s="163"/>
    </row>
    <row r="213" spans="9:18" x14ac:dyDescent="0.25">
      <c r="I213" s="23"/>
      <c r="J213" s="23"/>
      <c r="K213" s="23"/>
      <c r="L213" s="23"/>
      <c r="M213" s="23"/>
      <c r="N213" s="23"/>
      <c r="O213" s="23"/>
      <c r="P213" s="23"/>
      <c r="Q213" s="23"/>
      <c r="R213" s="163"/>
    </row>
    <row r="214" spans="9:18" x14ac:dyDescent="0.25">
      <c r="I214" s="23"/>
      <c r="J214" s="23"/>
      <c r="K214" s="23"/>
      <c r="L214" s="23"/>
      <c r="M214" s="23"/>
      <c r="N214" s="23"/>
      <c r="O214" s="23"/>
      <c r="P214" s="23"/>
      <c r="Q214" s="23"/>
      <c r="R214" s="163"/>
    </row>
    <row r="215" spans="9:18" x14ac:dyDescent="0.25">
      <c r="I215" s="23"/>
      <c r="J215" s="23"/>
      <c r="K215" s="23"/>
      <c r="L215" s="23"/>
      <c r="M215" s="23"/>
      <c r="N215" s="23"/>
      <c r="O215" s="23"/>
      <c r="P215" s="23"/>
      <c r="Q215" s="23"/>
      <c r="R215" s="163"/>
    </row>
    <row r="216" spans="9:18" x14ac:dyDescent="0.25">
      <c r="I216" s="23"/>
      <c r="J216" s="23"/>
      <c r="K216" s="23"/>
      <c r="L216" s="23"/>
      <c r="M216" s="23"/>
      <c r="N216" s="23"/>
      <c r="O216" s="23"/>
      <c r="P216" s="23"/>
      <c r="Q216" s="23"/>
      <c r="R216" s="163"/>
    </row>
    <row r="217" spans="9:18" x14ac:dyDescent="0.25">
      <c r="I217" s="23"/>
      <c r="J217" s="23"/>
      <c r="K217" s="23"/>
      <c r="L217" s="23"/>
      <c r="M217" s="23"/>
      <c r="N217" s="23"/>
      <c r="O217" s="23"/>
      <c r="P217" s="23"/>
      <c r="Q217" s="23"/>
      <c r="R217" s="163"/>
    </row>
    <row r="218" spans="9:18" x14ac:dyDescent="0.25">
      <c r="I218" s="23"/>
      <c r="J218" s="23"/>
      <c r="K218" s="23"/>
      <c r="L218" s="23"/>
      <c r="M218" s="23"/>
      <c r="N218" s="23"/>
      <c r="O218" s="23"/>
      <c r="P218" s="23"/>
      <c r="Q218" s="23"/>
      <c r="R218" s="163"/>
    </row>
    <row r="219" spans="9:18" x14ac:dyDescent="0.25">
      <c r="I219" s="23"/>
      <c r="J219" s="23"/>
      <c r="K219" s="23"/>
      <c r="L219" s="23"/>
      <c r="M219" s="23"/>
      <c r="N219" s="23"/>
      <c r="O219" s="23"/>
      <c r="P219" s="23"/>
      <c r="Q219" s="23"/>
      <c r="R219" s="163"/>
    </row>
    <row r="220" spans="9:18" x14ac:dyDescent="0.25">
      <c r="I220" s="23"/>
      <c r="J220" s="23"/>
      <c r="K220" s="23"/>
      <c r="L220" s="23"/>
      <c r="M220" s="23"/>
      <c r="N220" s="23"/>
      <c r="O220" s="23"/>
      <c r="P220" s="23"/>
      <c r="Q220" s="23"/>
      <c r="R220" s="163"/>
    </row>
    <row r="221" spans="9:18" x14ac:dyDescent="0.25">
      <c r="I221" s="23"/>
      <c r="J221" s="23"/>
      <c r="K221" s="23"/>
      <c r="L221" s="23"/>
      <c r="M221" s="23"/>
      <c r="N221" s="23"/>
      <c r="O221" s="23"/>
      <c r="P221" s="23"/>
      <c r="Q221" s="23"/>
      <c r="R221" s="163"/>
    </row>
    <row r="222" spans="9:18" x14ac:dyDescent="0.25">
      <c r="I222" s="23"/>
      <c r="J222" s="23"/>
      <c r="K222" s="23"/>
      <c r="L222" s="23"/>
      <c r="M222" s="23"/>
      <c r="N222" s="23"/>
      <c r="O222" s="23"/>
      <c r="P222" s="23"/>
      <c r="Q222" s="23"/>
      <c r="R222" s="163"/>
    </row>
    <row r="223" spans="9:18" x14ac:dyDescent="0.25">
      <c r="I223" s="23"/>
      <c r="J223" s="23"/>
      <c r="K223" s="23"/>
      <c r="L223" s="23"/>
      <c r="M223" s="23"/>
      <c r="N223" s="23"/>
      <c r="O223" s="23"/>
      <c r="P223" s="23"/>
      <c r="Q223" s="23"/>
      <c r="R223" s="163"/>
    </row>
    <row r="224" spans="9:18" x14ac:dyDescent="0.25">
      <c r="I224" s="23"/>
      <c r="J224" s="23"/>
      <c r="K224" s="23"/>
      <c r="L224" s="23"/>
      <c r="M224" s="23"/>
      <c r="N224" s="23"/>
      <c r="O224" s="23"/>
      <c r="P224" s="23"/>
      <c r="Q224" s="23"/>
      <c r="R224" s="163"/>
    </row>
    <row r="225" spans="9:18" x14ac:dyDescent="0.25">
      <c r="I225" s="23"/>
      <c r="J225" s="23"/>
      <c r="K225" s="23"/>
      <c r="L225" s="23"/>
      <c r="M225" s="23"/>
      <c r="N225" s="23"/>
      <c r="O225" s="23"/>
      <c r="P225" s="23"/>
      <c r="Q225" s="23"/>
      <c r="R225" s="163"/>
    </row>
    <row r="226" spans="9:18" x14ac:dyDescent="0.25">
      <c r="I226" s="23"/>
      <c r="J226" s="23"/>
      <c r="K226" s="23"/>
      <c r="L226" s="23"/>
      <c r="M226" s="23"/>
      <c r="N226" s="23"/>
      <c r="O226" s="23"/>
      <c r="P226" s="23"/>
      <c r="Q226" s="23"/>
      <c r="R226" s="163"/>
    </row>
    <row r="227" spans="9:18" x14ac:dyDescent="0.25">
      <c r="I227" s="23"/>
      <c r="J227" s="23"/>
      <c r="K227" s="23"/>
      <c r="L227" s="23"/>
      <c r="M227" s="23"/>
      <c r="N227" s="23"/>
      <c r="O227" s="23"/>
      <c r="P227" s="23"/>
      <c r="Q227" s="23"/>
      <c r="R227" s="163"/>
    </row>
    <row r="228" spans="9:18" x14ac:dyDescent="0.25">
      <c r="I228" s="23"/>
      <c r="J228" s="23"/>
      <c r="K228" s="23"/>
      <c r="L228" s="23"/>
      <c r="M228" s="23"/>
      <c r="N228" s="23"/>
      <c r="O228" s="23"/>
      <c r="P228" s="23"/>
      <c r="Q228" s="23"/>
      <c r="R228" s="163"/>
    </row>
    <row r="229" spans="9:18" x14ac:dyDescent="0.25">
      <c r="I229" s="23"/>
      <c r="J229" s="23"/>
      <c r="K229" s="23"/>
      <c r="L229" s="23"/>
      <c r="M229" s="23"/>
      <c r="N229" s="23"/>
      <c r="O229" s="23"/>
      <c r="P229" s="23"/>
      <c r="Q229" s="23"/>
      <c r="R229" s="163"/>
    </row>
    <row r="230" spans="9:18" x14ac:dyDescent="0.25">
      <c r="I230" s="23"/>
      <c r="J230" s="23"/>
      <c r="K230" s="23"/>
      <c r="L230" s="23"/>
      <c r="M230" s="23"/>
      <c r="N230" s="23"/>
      <c r="O230" s="23"/>
      <c r="P230" s="23"/>
      <c r="Q230" s="23"/>
      <c r="R230" s="40"/>
    </row>
    <row r="231" spans="9:18" x14ac:dyDescent="0.25">
      <c r="I231" s="23"/>
      <c r="J231" s="23"/>
      <c r="K231" s="23"/>
      <c r="L231" s="23"/>
      <c r="M231" s="23"/>
      <c r="N231" s="23"/>
      <c r="O231" s="23"/>
      <c r="P231" s="23"/>
      <c r="Q231" s="23"/>
      <c r="R231" s="40"/>
    </row>
    <row r="232" spans="9:18" x14ac:dyDescent="0.25">
      <c r="I232" s="23"/>
      <c r="J232" s="23"/>
      <c r="K232" s="23"/>
      <c r="L232" s="23"/>
      <c r="M232" s="23"/>
      <c r="N232" s="23"/>
      <c r="O232" s="23"/>
      <c r="P232" s="23"/>
      <c r="Q232" s="23"/>
      <c r="R232" s="40"/>
    </row>
    <row r="233" spans="9:18" x14ac:dyDescent="0.25">
      <c r="I233" s="23"/>
      <c r="J233" s="23"/>
      <c r="K233" s="23"/>
      <c r="L233" s="23"/>
      <c r="M233" s="23"/>
      <c r="N233" s="23"/>
      <c r="O233" s="23"/>
      <c r="P233" s="23"/>
      <c r="Q233" s="23"/>
      <c r="R233" s="40"/>
    </row>
    <row r="234" spans="9:18" x14ac:dyDescent="0.25">
      <c r="I234" s="23"/>
      <c r="J234" s="23"/>
      <c r="K234" s="23"/>
      <c r="L234" s="23"/>
      <c r="M234" s="23"/>
      <c r="N234" s="23"/>
      <c r="O234" s="23"/>
      <c r="P234" s="23"/>
      <c r="Q234" s="23"/>
      <c r="R234" s="40"/>
    </row>
    <row r="235" spans="9:18" x14ac:dyDescent="0.25">
      <c r="I235" s="23"/>
      <c r="J235" s="23"/>
      <c r="K235" s="23"/>
      <c r="L235" s="23"/>
      <c r="M235" s="23"/>
      <c r="N235" s="23"/>
      <c r="O235" s="23"/>
      <c r="P235" s="23"/>
      <c r="Q235" s="23"/>
      <c r="R235" s="40"/>
    </row>
    <row r="236" spans="9:18" x14ac:dyDescent="0.25">
      <c r="I236" s="23"/>
      <c r="J236" s="23"/>
      <c r="K236" s="23"/>
      <c r="L236" s="23"/>
      <c r="M236" s="23"/>
      <c r="N236" s="23"/>
      <c r="O236" s="23"/>
      <c r="P236" s="23"/>
      <c r="Q236" s="23"/>
      <c r="R236" s="40"/>
    </row>
    <row r="237" spans="9:18" x14ac:dyDescent="0.25">
      <c r="I237" s="23"/>
      <c r="J237" s="23"/>
      <c r="K237" s="23"/>
      <c r="L237" s="23"/>
      <c r="M237" s="23"/>
      <c r="N237" s="23"/>
      <c r="O237" s="23"/>
      <c r="P237" s="23"/>
      <c r="Q237" s="23"/>
      <c r="R237" s="40"/>
    </row>
    <row r="238" spans="9:18" x14ac:dyDescent="0.25">
      <c r="I238" s="23"/>
      <c r="J238" s="23"/>
      <c r="K238" s="23"/>
      <c r="L238" s="23"/>
      <c r="M238" s="23"/>
      <c r="N238" s="23"/>
      <c r="O238" s="23"/>
      <c r="P238" s="23"/>
      <c r="Q238" s="23"/>
      <c r="R238" s="40"/>
    </row>
    <row r="239" spans="9:18" x14ac:dyDescent="0.25">
      <c r="I239" s="23"/>
      <c r="J239" s="23"/>
      <c r="K239" s="23"/>
      <c r="L239" s="23"/>
      <c r="M239" s="23"/>
      <c r="N239" s="23"/>
      <c r="O239" s="23"/>
      <c r="P239" s="23"/>
      <c r="Q239" s="23"/>
      <c r="R239" s="40"/>
    </row>
    <row r="240" spans="9:18" x14ac:dyDescent="0.25">
      <c r="I240" s="23"/>
      <c r="J240" s="23"/>
      <c r="K240" s="23"/>
      <c r="L240" s="23"/>
      <c r="M240" s="23"/>
      <c r="N240" s="23"/>
      <c r="O240" s="23"/>
      <c r="P240" s="23"/>
      <c r="Q240" s="23"/>
      <c r="R240" s="40"/>
    </row>
    <row r="241" spans="9:18" x14ac:dyDescent="0.25">
      <c r="I241" s="23"/>
      <c r="J241" s="23"/>
      <c r="K241" s="23"/>
      <c r="L241" s="23"/>
      <c r="M241" s="23"/>
      <c r="N241" s="23"/>
      <c r="O241" s="23"/>
      <c r="P241" s="23"/>
      <c r="Q241" s="23"/>
      <c r="R241" s="40"/>
    </row>
    <row r="242" spans="9:18" x14ac:dyDescent="0.25">
      <c r="I242" s="23"/>
      <c r="J242" s="23"/>
      <c r="K242" s="23"/>
      <c r="L242" s="23"/>
      <c r="M242" s="23"/>
      <c r="N242" s="23"/>
      <c r="O242" s="23"/>
      <c r="P242" s="23"/>
      <c r="Q242" s="23"/>
      <c r="R242" s="40"/>
    </row>
    <row r="243" spans="9:18" x14ac:dyDescent="0.25">
      <c r="I243" s="23"/>
      <c r="J243" s="23"/>
      <c r="K243" s="23"/>
      <c r="L243" s="23"/>
      <c r="M243" s="23"/>
      <c r="N243" s="23"/>
      <c r="O243" s="23"/>
      <c r="P243" s="23"/>
      <c r="Q243" s="23"/>
      <c r="R243" s="40"/>
    </row>
    <row r="244" spans="9:18" x14ac:dyDescent="0.25">
      <c r="I244" s="23"/>
      <c r="J244" s="23"/>
      <c r="K244" s="23"/>
      <c r="L244" s="23"/>
      <c r="M244" s="23"/>
      <c r="N244" s="23"/>
      <c r="O244" s="23"/>
      <c r="P244" s="23"/>
      <c r="Q244" s="23"/>
      <c r="R244" s="40"/>
    </row>
    <row r="245" spans="9:18" x14ac:dyDescent="0.25">
      <c r="I245" s="23"/>
      <c r="J245" s="23"/>
      <c r="K245" s="23"/>
      <c r="L245" s="23"/>
      <c r="M245" s="23"/>
      <c r="N245" s="23"/>
      <c r="O245" s="23"/>
      <c r="P245" s="23"/>
      <c r="Q245" s="23"/>
      <c r="R245" s="40"/>
    </row>
    <row r="246" spans="9:18" x14ac:dyDescent="0.25">
      <c r="I246" s="23"/>
      <c r="J246" s="23"/>
      <c r="K246" s="23"/>
      <c r="L246" s="23"/>
      <c r="M246" s="23"/>
      <c r="N246" s="23"/>
      <c r="O246" s="23"/>
      <c r="P246" s="23"/>
      <c r="Q246" s="23"/>
      <c r="R246" s="40"/>
    </row>
    <row r="247" spans="9:18" x14ac:dyDescent="0.25">
      <c r="I247" s="23"/>
      <c r="J247" s="23"/>
      <c r="K247" s="23"/>
      <c r="L247" s="23"/>
      <c r="M247" s="23"/>
      <c r="N247" s="23"/>
      <c r="O247" s="23"/>
      <c r="P247" s="23"/>
      <c r="Q247" s="23"/>
      <c r="R247" s="23"/>
    </row>
    <row r="248" spans="9:18" x14ac:dyDescent="0.25">
      <c r="I248" s="23"/>
      <c r="J248" s="23"/>
      <c r="K248" s="23"/>
      <c r="L248" s="23"/>
      <c r="M248" s="23"/>
      <c r="N248" s="23"/>
      <c r="O248" s="23"/>
      <c r="P248" s="23"/>
      <c r="Q248" s="23"/>
      <c r="R248" s="23"/>
    </row>
    <row r="249" spans="9:18" x14ac:dyDescent="0.25">
      <c r="I249" s="23"/>
      <c r="J249" s="23"/>
      <c r="K249" s="23"/>
      <c r="L249" s="23"/>
      <c r="M249" s="23"/>
      <c r="N249" s="23"/>
      <c r="O249" s="23"/>
      <c r="P249" s="23"/>
      <c r="Q249" s="23"/>
      <c r="R249" s="23"/>
    </row>
    <row r="250" spans="9:18" x14ac:dyDescent="0.25">
      <c r="I250" s="23"/>
      <c r="J250" s="23"/>
      <c r="K250" s="23"/>
      <c r="L250" s="23"/>
      <c r="M250" s="23"/>
      <c r="N250" s="23"/>
      <c r="O250" s="23"/>
      <c r="P250" s="23"/>
      <c r="Q250" s="23"/>
      <c r="R250" s="23"/>
    </row>
    <row r="251" spans="9:18" x14ac:dyDescent="0.25">
      <c r="I251" s="23"/>
      <c r="J251" s="23"/>
      <c r="K251" s="23"/>
      <c r="L251" s="23"/>
      <c r="M251" s="23"/>
      <c r="N251" s="23"/>
      <c r="O251" s="23"/>
      <c r="P251" s="23"/>
      <c r="Q251" s="23"/>
      <c r="R251" s="23"/>
    </row>
    <row r="252" spans="9:18" x14ac:dyDescent="0.25"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9:18" x14ac:dyDescent="0.25">
      <c r="I253" s="23"/>
      <c r="J253" s="23"/>
      <c r="K253" s="23"/>
      <c r="L253" s="23"/>
      <c r="M253" s="23"/>
      <c r="N253" s="23"/>
      <c r="O253" s="23"/>
      <c r="P253" s="23"/>
      <c r="Q253" s="23"/>
      <c r="R253" s="23"/>
    </row>
    <row r="254" spans="9:18" x14ac:dyDescent="0.25">
      <c r="I254" s="23"/>
      <c r="J254" s="23"/>
      <c r="K254" s="23"/>
      <c r="L254" s="23"/>
      <c r="M254" s="23"/>
      <c r="N254" s="23"/>
      <c r="O254" s="23"/>
      <c r="P254" s="23"/>
      <c r="Q254" s="23"/>
      <c r="R254" s="23"/>
    </row>
  </sheetData>
  <mergeCells count="3">
    <mergeCell ref="A5:H5"/>
    <mergeCell ref="A6:H6"/>
    <mergeCell ref="A7:H7"/>
  </mergeCells>
  <pageMargins left="0.11811023622047245" right="0.70866141732283472" top="0.74803149606299213" bottom="0.74803149606299213" header="0.31496062992125984" footer="0.31496062992125984"/>
  <pageSetup paperSize="5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57"/>
  <sheetViews>
    <sheetView tabSelected="1" topLeftCell="J1" workbookViewId="0">
      <selection activeCell="N11" sqref="N11"/>
    </sheetView>
  </sheetViews>
  <sheetFormatPr baseColWidth="10" defaultColWidth="11.42578125" defaultRowHeight="15" x14ac:dyDescent="0.25"/>
  <cols>
    <col min="1" max="1" width="6.7109375" customWidth="1"/>
    <col min="2" max="3" width="5.85546875" customWidth="1"/>
    <col min="4" max="4" width="5.7109375" customWidth="1"/>
    <col min="5" max="5" width="4" customWidth="1"/>
    <col min="6" max="6" width="30" customWidth="1"/>
    <col min="7" max="7" width="14.85546875" customWidth="1"/>
    <col min="8" max="8" width="13.42578125" style="27" customWidth="1"/>
    <col min="9" max="9" width="23.42578125" hidden="1" customWidth="1"/>
    <col min="10" max="10" width="14" customWidth="1"/>
    <col min="11" max="11" width="13.5703125" customWidth="1"/>
    <col min="12" max="12" width="13.140625" customWidth="1"/>
    <col min="13" max="13" width="13.85546875" customWidth="1"/>
    <col min="14" max="14" width="13.42578125" customWidth="1"/>
    <col min="15" max="15" width="14" customWidth="1"/>
    <col min="16" max="17" width="14.140625" customWidth="1"/>
    <col min="18" max="18" width="13.42578125" customWidth="1"/>
    <col min="19" max="19" width="15.42578125" customWidth="1"/>
    <col min="20" max="20" width="15" customWidth="1"/>
    <col min="21" max="21" width="20.28515625" customWidth="1"/>
    <col min="22" max="22" width="10.5703125" hidden="1" customWidth="1"/>
    <col min="23" max="23" width="27.5703125" customWidth="1"/>
    <col min="24" max="24" width="11.5703125" bestFit="1" customWidth="1"/>
    <col min="215" max="215" width="4.85546875" bestFit="1" customWidth="1"/>
    <col min="216" max="216" width="5.85546875" bestFit="1" customWidth="1"/>
    <col min="217" max="217" width="7.42578125" bestFit="1" customWidth="1"/>
    <col min="218" max="218" width="8.140625" bestFit="1" customWidth="1"/>
    <col min="219" max="219" width="4.5703125" bestFit="1" customWidth="1"/>
    <col min="220" max="220" width="57.5703125" customWidth="1"/>
    <col min="221" max="221" width="14.28515625" customWidth="1"/>
    <col min="222" max="222" width="0.85546875" customWidth="1"/>
    <col min="223" max="223" width="16.5703125" bestFit="1" customWidth="1"/>
    <col min="224" max="224" width="13.42578125" bestFit="1" customWidth="1"/>
    <col min="471" max="471" width="4.85546875" bestFit="1" customWidth="1"/>
    <col min="472" max="472" width="5.85546875" bestFit="1" customWidth="1"/>
    <col min="473" max="473" width="7.42578125" bestFit="1" customWidth="1"/>
    <col min="474" max="474" width="8.140625" bestFit="1" customWidth="1"/>
    <col min="475" max="475" width="4.5703125" bestFit="1" customWidth="1"/>
    <col min="476" max="476" width="57.5703125" customWidth="1"/>
    <col min="477" max="477" width="14.28515625" customWidth="1"/>
    <col min="478" max="478" width="0.85546875" customWidth="1"/>
    <col min="479" max="479" width="16.5703125" bestFit="1" customWidth="1"/>
    <col min="480" max="480" width="13.42578125" bestFit="1" customWidth="1"/>
    <col min="727" max="727" width="4.85546875" bestFit="1" customWidth="1"/>
    <col min="728" max="728" width="5.85546875" bestFit="1" customWidth="1"/>
    <col min="729" max="729" width="7.42578125" bestFit="1" customWidth="1"/>
    <col min="730" max="730" width="8.140625" bestFit="1" customWidth="1"/>
    <col min="731" max="731" width="4.5703125" bestFit="1" customWidth="1"/>
    <col min="732" max="732" width="57.5703125" customWidth="1"/>
    <col min="733" max="733" width="14.28515625" customWidth="1"/>
    <col min="734" max="734" width="0.85546875" customWidth="1"/>
    <col min="735" max="735" width="16.5703125" bestFit="1" customWidth="1"/>
    <col min="736" max="736" width="13.42578125" bestFit="1" customWidth="1"/>
    <col min="983" max="983" width="4.85546875" bestFit="1" customWidth="1"/>
    <col min="984" max="984" width="5.85546875" bestFit="1" customWidth="1"/>
    <col min="985" max="985" width="7.42578125" bestFit="1" customWidth="1"/>
    <col min="986" max="986" width="8.140625" bestFit="1" customWidth="1"/>
    <col min="987" max="987" width="4.5703125" bestFit="1" customWidth="1"/>
    <col min="988" max="988" width="57.5703125" customWidth="1"/>
    <col min="989" max="989" width="14.28515625" customWidth="1"/>
    <col min="990" max="990" width="0.85546875" customWidth="1"/>
    <col min="991" max="991" width="16.5703125" bestFit="1" customWidth="1"/>
    <col min="992" max="992" width="13.42578125" bestFit="1" customWidth="1"/>
    <col min="1239" max="1239" width="4.85546875" bestFit="1" customWidth="1"/>
    <col min="1240" max="1240" width="5.85546875" bestFit="1" customWidth="1"/>
    <col min="1241" max="1241" width="7.42578125" bestFit="1" customWidth="1"/>
    <col min="1242" max="1242" width="8.140625" bestFit="1" customWidth="1"/>
    <col min="1243" max="1243" width="4.5703125" bestFit="1" customWidth="1"/>
    <col min="1244" max="1244" width="57.5703125" customWidth="1"/>
    <col min="1245" max="1245" width="14.28515625" customWidth="1"/>
    <col min="1246" max="1246" width="0.85546875" customWidth="1"/>
    <col min="1247" max="1247" width="16.5703125" bestFit="1" customWidth="1"/>
    <col min="1248" max="1248" width="13.42578125" bestFit="1" customWidth="1"/>
    <col min="1495" max="1495" width="4.85546875" bestFit="1" customWidth="1"/>
    <col min="1496" max="1496" width="5.85546875" bestFit="1" customWidth="1"/>
    <col min="1497" max="1497" width="7.42578125" bestFit="1" customWidth="1"/>
    <col min="1498" max="1498" width="8.140625" bestFit="1" customWidth="1"/>
    <col min="1499" max="1499" width="4.5703125" bestFit="1" customWidth="1"/>
    <col min="1500" max="1500" width="57.5703125" customWidth="1"/>
    <col min="1501" max="1501" width="14.28515625" customWidth="1"/>
    <col min="1502" max="1502" width="0.85546875" customWidth="1"/>
    <col min="1503" max="1503" width="16.5703125" bestFit="1" customWidth="1"/>
    <col min="1504" max="1504" width="13.42578125" bestFit="1" customWidth="1"/>
    <col min="1751" max="1751" width="4.85546875" bestFit="1" customWidth="1"/>
    <col min="1752" max="1752" width="5.85546875" bestFit="1" customWidth="1"/>
    <col min="1753" max="1753" width="7.42578125" bestFit="1" customWidth="1"/>
    <col min="1754" max="1754" width="8.140625" bestFit="1" customWidth="1"/>
    <col min="1755" max="1755" width="4.5703125" bestFit="1" customWidth="1"/>
    <col min="1756" max="1756" width="57.5703125" customWidth="1"/>
    <col min="1757" max="1757" width="14.28515625" customWidth="1"/>
    <col min="1758" max="1758" width="0.85546875" customWidth="1"/>
    <col min="1759" max="1759" width="16.5703125" bestFit="1" customWidth="1"/>
    <col min="1760" max="1760" width="13.42578125" bestFit="1" customWidth="1"/>
    <col min="2007" max="2007" width="4.85546875" bestFit="1" customWidth="1"/>
    <col min="2008" max="2008" width="5.85546875" bestFit="1" customWidth="1"/>
    <col min="2009" max="2009" width="7.42578125" bestFit="1" customWidth="1"/>
    <col min="2010" max="2010" width="8.140625" bestFit="1" customWidth="1"/>
    <col min="2011" max="2011" width="4.5703125" bestFit="1" customWidth="1"/>
    <col min="2012" max="2012" width="57.5703125" customWidth="1"/>
    <col min="2013" max="2013" width="14.28515625" customWidth="1"/>
    <col min="2014" max="2014" width="0.85546875" customWidth="1"/>
    <col min="2015" max="2015" width="16.5703125" bestFit="1" customWidth="1"/>
    <col min="2016" max="2016" width="13.42578125" bestFit="1" customWidth="1"/>
    <col min="2263" max="2263" width="4.85546875" bestFit="1" customWidth="1"/>
    <col min="2264" max="2264" width="5.85546875" bestFit="1" customWidth="1"/>
    <col min="2265" max="2265" width="7.42578125" bestFit="1" customWidth="1"/>
    <col min="2266" max="2266" width="8.140625" bestFit="1" customWidth="1"/>
    <col min="2267" max="2267" width="4.5703125" bestFit="1" customWidth="1"/>
    <col min="2268" max="2268" width="57.5703125" customWidth="1"/>
    <col min="2269" max="2269" width="14.28515625" customWidth="1"/>
    <col min="2270" max="2270" width="0.85546875" customWidth="1"/>
    <col min="2271" max="2271" width="16.5703125" bestFit="1" customWidth="1"/>
    <col min="2272" max="2272" width="13.42578125" bestFit="1" customWidth="1"/>
    <col min="2519" max="2519" width="4.85546875" bestFit="1" customWidth="1"/>
    <col min="2520" max="2520" width="5.85546875" bestFit="1" customWidth="1"/>
    <col min="2521" max="2521" width="7.42578125" bestFit="1" customWidth="1"/>
    <col min="2522" max="2522" width="8.140625" bestFit="1" customWidth="1"/>
    <col min="2523" max="2523" width="4.5703125" bestFit="1" customWidth="1"/>
    <col min="2524" max="2524" width="57.5703125" customWidth="1"/>
    <col min="2525" max="2525" width="14.28515625" customWidth="1"/>
    <col min="2526" max="2526" width="0.85546875" customWidth="1"/>
    <col min="2527" max="2527" width="16.5703125" bestFit="1" customWidth="1"/>
    <col min="2528" max="2528" width="13.42578125" bestFit="1" customWidth="1"/>
    <col min="2775" max="2775" width="4.85546875" bestFit="1" customWidth="1"/>
    <col min="2776" max="2776" width="5.85546875" bestFit="1" customWidth="1"/>
    <col min="2777" max="2777" width="7.42578125" bestFit="1" customWidth="1"/>
    <col min="2778" max="2778" width="8.140625" bestFit="1" customWidth="1"/>
    <col min="2779" max="2779" width="4.5703125" bestFit="1" customWidth="1"/>
    <col min="2780" max="2780" width="57.5703125" customWidth="1"/>
    <col min="2781" max="2781" width="14.28515625" customWidth="1"/>
    <col min="2782" max="2782" width="0.85546875" customWidth="1"/>
    <col min="2783" max="2783" width="16.5703125" bestFit="1" customWidth="1"/>
    <col min="2784" max="2784" width="13.42578125" bestFit="1" customWidth="1"/>
    <col min="3031" max="3031" width="4.85546875" bestFit="1" customWidth="1"/>
    <col min="3032" max="3032" width="5.85546875" bestFit="1" customWidth="1"/>
    <col min="3033" max="3033" width="7.42578125" bestFit="1" customWidth="1"/>
    <col min="3034" max="3034" width="8.140625" bestFit="1" customWidth="1"/>
    <col min="3035" max="3035" width="4.5703125" bestFit="1" customWidth="1"/>
    <col min="3036" max="3036" width="57.5703125" customWidth="1"/>
    <col min="3037" max="3037" width="14.28515625" customWidth="1"/>
    <col min="3038" max="3038" width="0.85546875" customWidth="1"/>
    <col min="3039" max="3039" width="16.5703125" bestFit="1" customWidth="1"/>
    <col min="3040" max="3040" width="13.42578125" bestFit="1" customWidth="1"/>
    <col min="3287" max="3287" width="4.85546875" bestFit="1" customWidth="1"/>
    <col min="3288" max="3288" width="5.85546875" bestFit="1" customWidth="1"/>
    <col min="3289" max="3289" width="7.42578125" bestFit="1" customWidth="1"/>
    <col min="3290" max="3290" width="8.140625" bestFit="1" customWidth="1"/>
    <col min="3291" max="3291" width="4.5703125" bestFit="1" customWidth="1"/>
    <col min="3292" max="3292" width="57.5703125" customWidth="1"/>
    <col min="3293" max="3293" width="14.28515625" customWidth="1"/>
    <col min="3294" max="3294" width="0.85546875" customWidth="1"/>
    <col min="3295" max="3295" width="16.5703125" bestFit="1" customWidth="1"/>
    <col min="3296" max="3296" width="13.42578125" bestFit="1" customWidth="1"/>
    <col min="3543" max="3543" width="4.85546875" bestFit="1" customWidth="1"/>
    <col min="3544" max="3544" width="5.85546875" bestFit="1" customWidth="1"/>
    <col min="3545" max="3545" width="7.42578125" bestFit="1" customWidth="1"/>
    <col min="3546" max="3546" width="8.140625" bestFit="1" customWidth="1"/>
    <col min="3547" max="3547" width="4.5703125" bestFit="1" customWidth="1"/>
    <col min="3548" max="3548" width="57.5703125" customWidth="1"/>
    <col min="3549" max="3549" width="14.28515625" customWidth="1"/>
    <col min="3550" max="3550" width="0.85546875" customWidth="1"/>
    <col min="3551" max="3551" width="16.5703125" bestFit="1" customWidth="1"/>
    <col min="3552" max="3552" width="13.42578125" bestFit="1" customWidth="1"/>
    <col min="3799" max="3799" width="4.85546875" bestFit="1" customWidth="1"/>
    <col min="3800" max="3800" width="5.85546875" bestFit="1" customWidth="1"/>
    <col min="3801" max="3801" width="7.42578125" bestFit="1" customWidth="1"/>
    <col min="3802" max="3802" width="8.140625" bestFit="1" customWidth="1"/>
    <col min="3803" max="3803" width="4.5703125" bestFit="1" customWidth="1"/>
    <col min="3804" max="3804" width="57.5703125" customWidth="1"/>
    <col min="3805" max="3805" width="14.28515625" customWidth="1"/>
    <col min="3806" max="3806" width="0.85546875" customWidth="1"/>
    <col min="3807" max="3807" width="16.5703125" bestFit="1" customWidth="1"/>
    <col min="3808" max="3808" width="13.42578125" bestFit="1" customWidth="1"/>
    <col min="4055" max="4055" width="4.85546875" bestFit="1" customWidth="1"/>
    <col min="4056" max="4056" width="5.85546875" bestFit="1" customWidth="1"/>
    <col min="4057" max="4057" width="7.42578125" bestFit="1" customWidth="1"/>
    <col min="4058" max="4058" width="8.140625" bestFit="1" customWidth="1"/>
    <col min="4059" max="4059" width="4.5703125" bestFit="1" customWidth="1"/>
    <col min="4060" max="4060" width="57.5703125" customWidth="1"/>
    <col min="4061" max="4061" width="14.28515625" customWidth="1"/>
    <col min="4062" max="4062" width="0.85546875" customWidth="1"/>
    <col min="4063" max="4063" width="16.5703125" bestFit="1" customWidth="1"/>
    <col min="4064" max="4064" width="13.42578125" bestFit="1" customWidth="1"/>
    <col min="4311" max="4311" width="4.85546875" bestFit="1" customWidth="1"/>
    <col min="4312" max="4312" width="5.85546875" bestFit="1" customWidth="1"/>
    <col min="4313" max="4313" width="7.42578125" bestFit="1" customWidth="1"/>
    <col min="4314" max="4314" width="8.140625" bestFit="1" customWidth="1"/>
    <col min="4315" max="4315" width="4.5703125" bestFit="1" customWidth="1"/>
    <col min="4316" max="4316" width="57.5703125" customWidth="1"/>
    <col min="4317" max="4317" width="14.28515625" customWidth="1"/>
    <col min="4318" max="4318" width="0.85546875" customWidth="1"/>
    <col min="4319" max="4319" width="16.5703125" bestFit="1" customWidth="1"/>
    <col min="4320" max="4320" width="13.42578125" bestFit="1" customWidth="1"/>
    <col min="4567" max="4567" width="4.85546875" bestFit="1" customWidth="1"/>
    <col min="4568" max="4568" width="5.85546875" bestFit="1" customWidth="1"/>
    <col min="4569" max="4569" width="7.42578125" bestFit="1" customWidth="1"/>
    <col min="4570" max="4570" width="8.140625" bestFit="1" customWidth="1"/>
    <col min="4571" max="4571" width="4.5703125" bestFit="1" customWidth="1"/>
    <col min="4572" max="4572" width="57.5703125" customWidth="1"/>
    <col min="4573" max="4573" width="14.28515625" customWidth="1"/>
    <col min="4574" max="4574" width="0.85546875" customWidth="1"/>
    <col min="4575" max="4575" width="16.5703125" bestFit="1" customWidth="1"/>
    <col min="4576" max="4576" width="13.42578125" bestFit="1" customWidth="1"/>
    <col min="4823" max="4823" width="4.85546875" bestFit="1" customWidth="1"/>
    <col min="4824" max="4824" width="5.85546875" bestFit="1" customWidth="1"/>
    <col min="4825" max="4825" width="7.42578125" bestFit="1" customWidth="1"/>
    <col min="4826" max="4826" width="8.140625" bestFit="1" customWidth="1"/>
    <col min="4827" max="4827" width="4.5703125" bestFit="1" customWidth="1"/>
    <col min="4828" max="4828" width="57.5703125" customWidth="1"/>
    <col min="4829" max="4829" width="14.28515625" customWidth="1"/>
    <col min="4830" max="4830" width="0.85546875" customWidth="1"/>
    <col min="4831" max="4831" width="16.5703125" bestFit="1" customWidth="1"/>
    <col min="4832" max="4832" width="13.42578125" bestFit="1" customWidth="1"/>
    <col min="5079" max="5079" width="4.85546875" bestFit="1" customWidth="1"/>
    <col min="5080" max="5080" width="5.85546875" bestFit="1" customWidth="1"/>
    <col min="5081" max="5081" width="7.42578125" bestFit="1" customWidth="1"/>
    <col min="5082" max="5082" width="8.140625" bestFit="1" customWidth="1"/>
    <col min="5083" max="5083" width="4.5703125" bestFit="1" customWidth="1"/>
    <col min="5084" max="5084" width="57.5703125" customWidth="1"/>
    <col min="5085" max="5085" width="14.28515625" customWidth="1"/>
    <col min="5086" max="5086" width="0.85546875" customWidth="1"/>
    <col min="5087" max="5087" width="16.5703125" bestFit="1" customWidth="1"/>
    <col min="5088" max="5088" width="13.42578125" bestFit="1" customWidth="1"/>
    <col min="5335" max="5335" width="4.85546875" bestFit="1" customWidth="1"/>
    <col min="5336" max="5336" width="5.85546875" bestFit="1" customWidth="1"/>
    <col min="5337" max="5337" width="7.42578125" bestFit="1" customWidth="1"/>
    <col min="5338" max="5338" width="8.140625" bestFit="1" customWidth="1"/>
    <col min="5339" max="5339" width="4.5703125" bestFit="1" customWidth="1"/>
    <col min="5340" max="5340" width="57.5703125" customWidth="1"/>
    <col min="5341" max="5341" width="14.28515625" customWidth="1"/>
    <col min="5342" max="5342" width="0.85546875" customWidth="1"/>
    <col min="5343" max="5343" width="16.5703125" bestFit="1" customWidth="1"/>
    <col min="5344" max="5344" width="13.42578125" bestFit="1" customWidth="1"/>
    <col min="5591" max="5591" width="4.85546875" bestFit="1" customWidth="1"/>
    <col min="5592" max="5592" width="5.85546875" bestFit="1" customWidth="1"/>
    <col min="5593" max="5593" width="7.42578125" bestFit="1" customWidth="1"/>
    <col min="5594" max="5594" width="8.140625" bestFit="1" customWidth="1"/>
    <col min="5595" max="5595" width="4.5703125" bestFit="1" customWidth="1"/>
    <col min="5596" max="5596" width="57.5703125" customWidth="1"/>
    <col min="5597" max="5597" width="14.28515625" customWidth="1"/>
    <col min="5598" max="5598" width="0.85546875" customWidth="1"/>
    <col min="5599" max="5599" width="16.5703125" bestFit="1" customWidth="1"/>
    <col min="5600" max="5600" width="13.42578125" bestFit="1" customWidth="1"/>
    <col min="5847" max="5847" width="4.85546875" bestFit="1" customWidth="1"/>
    <col min="5848" max="5848" width="5.85546875" bestFit="1" customWidth="1"/>
    <col min="5849" max="5849" width="7.42578125" bestFit="1" customWidth="1"/>
    <col min="5850" max="5850" width="8.140625" bestFit="1" customWidth="1"/>
    <col min="5851" max="5851" width="4.5703125" bestFit="1" customWidth="1"/>
    <col min="5852" max="5852" width="57.5703125" customWidth="1"/>
    <col min="5853" max="5853" width="14.28515625" customWidth="1"/>
    <col min="5854" max="5854" width="0.85546875" customWidth="1"/>
    <col min="5855" max="5855" width="16.5703125" bestFit="1" customWidth="1"/>
    <col min="5856" max="5856" width="13.42578125" bestFit="1" customWidth="1"/>
    <col min="6103" max="6103" width="4.85546875" bestFit="1" customWidth="1"/>
    <col min="6104" max="6104" width="5.85546875" bestFit="1" customWidth="1"/>
    <col min="6105" max="6105" width="7.42578125" bestFit="1" customWidth="1"/>
    <col min="6106" max="6106" width="8.140625" bestFit="1" customWidth="1"/>
    <col min="6107" max="6107" width="4.5703125" bestFit="1" customWidth="1"/>
    <col min="6108" max="6108" width="57.5703125" customWidth="1"/>
    <col min="6109" max="6109" width="14.28515625" customWidth="1"/>
    <col min="6110" max="6110" width="0.85546875" customWidth="1"/>
    <col min="6111" max="6111" width="16.5703125" bestFit="1" customWidth="1"/>
    <col min="6112" max="6112" width="13.42578125" bestFit="1" customWidth="1"/>
    <col min="6359" max="6359" width="4.85546875" bestFit="1" customWidth="1"/>
    <col min="6360" max="6360" width="5.85546875" bestFit="1" customWidth="1"/>
    <col min="6361" max="6361" width="7.42578125" bestFit="1" customWidth="1"/>
    <col min="6362" max="6362" width="8.140625" bestFit="1" customWidth="1"/>
    <col min="6363" max="6363" width="4.5703125" bestFit="1" customWidth="1"/>
    <col min="6364" max="6364" width="57.5703125" customWidth="1"/>
    <col min="6365" max="6365" width="14.28515625" customWidth="1"/>
    <col min="6366" max="6366" width="0.85546875" customWidth="1"/>
    <col min="6367" max="6367" width="16.5703125" bestFit="1" customWidth="1"/>
    <col min="6368" max="6368" width="13.42578125" bestFit="1" customWidth="1"/>
    <col min="6615" max="6615" width="4.85546875" bestFit="1" customWidth="1"/>
    <col min="6616" max="6616" width="5.85546875" bestFit="1" customWidth="1"/>
    <col min="6617" max="6617" width="7.42578125" bestFit="1" customWidth="1"/>
    <col min="6618" max="6618" width="8.140625" bestFit="1" customWidth="1"/>
    <col min="6619" max="6619" width="4.5703125" bestFit="1" customWidth="1"/>
    <col min="6620" max="6620" width="57.5703125" customWidth="1"/>
    <col min="6621" max="6621" width="14.28515625" customWidth="1"/>
    <col min="6622" max="6622" width="0.85546875" customWidth="1"/>
    <col min="6623" max="6623" width="16.5703125" bestFit="1" customWidth="1"/>
    <col min="6624" max="6624" width="13.42578125" bestFit="1" customWidth="1"/>
    <col min="6871" max="6871" width="4.85546875" bestFit="1" customWidth="1"/>
    <col min="6872" max="6872" width="5.85546875" bestFit="1" customWidth="1"/>
    <col min="6873" max="6873" width="7.42578125" bestFit="1" customWidth="1"/>
    <col min="6874" max="6874" width="8.140625" bestFit="1" customWidth="1"/>
    <col min="6875" max="6875" width="4.5703125" bestFit="1" customWidth="1"/>
    <col min="6876" max="6876" width="57.5703125" customWidth="1"/>
    <col min="6877" max="6877" width="14.28515625" customWidth="1"/>
    <col min="6878" max="6878" width="0.85546875" customWidth="1"/>
    <col min="6879" max="6879" width="16.5703125" bestFit="1" customWidth="1"/>
    <col min="6880" max="6880" width="13.42578125" bestFit="1" customWidth="1"/>
    <col min="7127" max="7127" width="4.85546875" bestFit="1" customWidth="1"/>
    <col min="7128" max="7128" width="5.85546875" bestFit="1" customWidth="1"/>
    <col min="7129" max="7129" width="7.42578125" bestFit="1" customWidth="1"/>
    <col min="7130" max="7130" width="8.140625" bestFit="1" customWidth="1"/>
    <col min="7131" max="7131" width="4.5703125" bestFit="1" customWidth="1"/>
    <col min="7132" max="7132" width="57.5703125" customWidth="1"/>
    <col min="7133" max="7133" width="14.28515625" customWidth="1"/>
    <col min="7134" max="7134" width="0.85546875" customWidth="1"/>
    <col min="7135" max="7135" width="16.5703125" bestFit="1" customWidth="1"/>
    <col min="7136" max="7136" width="13.42578125" bestFit="1" customWidth="1"/>
    <col min="7383" max="7383" width="4.85546875" bestFit="1" customWidth="1"/>
    <col min="7384" max="7384" width="5.85546875" bestFit="1" customWidth="1"/>
    <col min="7385" max="7385" width="7.42578125" bestFit="1" customWidth="1"/>
    <col min="7386" max="7386" width="8.140625" bestFit="1" customWidth="1"/>
    <col min="7387" max="7387" width="4.5703125" bestFit="1" customWidth="1"/>
    <col min="7388" max="7388" width="57.5703125" customWidth="1"/>
    <col min="7389" max="7389" width="14.28515625" customWidth="1"/>
    <col min="7390" max="7390" width="0.85546875" customWidth="1"/>
    <col min="7391" max="7391" width="16.5703125" bestFit="1" customWidth="1"/>
    <col min="7392" max="7392" width="13.42578125" bestFit="1" customWidth="1"/>
    <col min="7639" max="7639" width="4.85546875" bestFit="1" customWidth="1"/>
    <col min="7640" max="7640" width="5.85546875" bestFit="1" customWidth="1"/>
    <col min="7641" max="7641" width="7.42578125" bestFit="1" customWidth="1"/>
    <col min="7642" max="7642" width="8.140625" bestFit="1" customWidth="1"/>
    <col min="7643" max="7643" width="4.5703125" bestFit="1" customWidth="1"/>
    <col min="7644" max="7644" width="57.5703125" customWidth="1"/>
    <col min="7645" max="7645" width="14.28515625" customWidth="1"/>
    <col min="7646" max="7646" width="0.85546875" customWidth="1"/>
    <col min="7647" max="7647" width="16.5703125" bestFit="1" customWidth="1"/>
    <col min="7648" max="7648" width="13.42578125" bestFit="1" customWidth="1"/>
    <col min="7895" max="7895" width="4.85546875" bestFit="1" customWidth="1"/>
    <col min="7896" max="7896" width="5.85546875" bestFit="1" customWidth="1"/>
    <col min="7897" max="7897" width="7.42578125" bestFit="1" customWidth="1"/>
    <col min="7898" max="7898" width="8.140625" bestFit="1" customWidth="1"/>
    <col min="7899" max="7899" width="4.5703125" bestFit="1" customWidth="1"/>
    <col min="7900" max="7900" width="57.5703125" customWidth="1"/>
    <col min="7901" max="7901" width="14.28515625" customWidth="1"/>
    <col min="7902" max="7902" width="0.85546875" customWidth="1"/>
    <col min="7903" max="7903" width="16.5703125" bestFit="1" customWidth="1"/>
    <col min="7904" max="7904" width="13.42578125" bestFit="1" customWidth="1"/>
    <col min="8151" max="8151" width="4.85546875" bestFit="1" customWidth="1"/>
    <col min="8152" max="8152" width="5.85546875" bestFit="1" customWidth="1"/>
    <col min="8153" max="8153" width="7.42578125" bestFit="1" customWidth="1"/>
    <col min="8154" max="8154" width="8.140625" bestFit="1" customWidth="1"/>
    <col min="8155" max="8155" width="4.5703125" bestFit="1" customWidth="1"/>
    <col min="8156" max="8156" width="57.5703125" customWidth="1"/>
    <col min="8157" max="8157" width="14.28515625" customWidth="1"/>
    <col min="8158" max="8158" width="0.85546875" customWidth="1"/>
    <col min="8159" max="8159" width="16.5703125" bestFit="1" customWidth="1"/>
    <col min="8160" max="8160" width="13.42578125" bestFit="1" customWidth="1"/>
    <col min="8407" max="8407" width="4.85546875" bestFit="1" customWidth="1"/>
    <col min="8408" max="8408" width="5.85546875" bestFit="1" customWidth="1"/>
    <col min="8409" max="8409" width="7.42578125" bestFit="1" customWidth="1"/>
    <col min="8410" max="8410" width="8.140625" bestFit="1" customWidth="1"/>
    <col min="8411" max="8411" width="4.5703125" bestFit="1" customWidth="1"/>
    <col min="8412" max="8412" width="57.5703125" customWidth="1"/>
    <col min="8413" max="8413" width="14.28515625" customWidth="1"/>
    <col min="8414" max="8414" width="0.85546875" customWidth="1"/>
    <col min="8415" max="8415" width="16.5703125" bestFit="1" customWidth="1"/>
    <col min="8416" max="8416" width="13.42578125" bestFit="1" customWidth="1"/>
    <col min="8663" max="8663" width="4.85546875" bestFit="1" customWidth="1"/>
    <col min="8664" max="8664" width="5.85546875" bestFit="1" customWidth="1"/>
    <col min="8665" max="8665" width="7.42578125" bestFit="1" customWidth="1"/>
    <col min="8666" max="8666" width="8.140625" bestFit="1" customWidth="1"/>
    <col min="8667" max="8667" width="4.5703125" bestFit="1" customWidth="1"/>
    <col min="8668" max="8668" width="57.5703125" customWidth="1"/>
    <col min="8669" max="8669" width="14.28515625" customWidth="1"/>
    <col min="8670" max="8670" width="0.85546875" customWidth="1"/>
    <col min="8671" max="8671" width="16.5703125" bestFit="1" customWidth="1"/>
    <col min="8672" max="8672" width="13.42578125" bestFit="1" customWidth="1"/>
    <col min="8919" max="8919" width="4.85546875" bestFit="1" customWidth="1"/>
    <col min="8920" max="8920" width="5.85546875" bestFit="1" customWidth="1"/>
    <col min="8921" max="8921" width="7.42578125" bestFit="1" customWidth="1"/>
    <col min="8922" max="8922" width="8.140625" bestFit="1" customWidth="1"/>
    <col min="8923" max="8923" width="4.5703125" bestFit="1" customWidth="1"/>
    <col min="8924" max="8924" width="57.5703125" customWidth="1"/>
    <col min="8925" max="8925" width="14.28515625" customWidth="1"/>
    <col min="8926" max="8926" width="0.85546875" customWidth="1"/>
    <col min="8927" max="8927" width="16.5703125" bestFit="1" customWidth="1"/>
    <col min="8928" max="8928" width="13.42578125" bestFit="1" customWidth="1"/>
    <col min="9175" max="9175" width="4.85546875" bestFit="1" customWidth="1"/>
    <col min="9176" max="9176" width="5.85546875" bestFit="1" customWidth="1"/>
    <col min="9177" max="9177" width="7.42578125" bestFit="1" customWidth="1"/>
    <col min="9178" max="9178" width="8.140625" bestFit="1" customWidth="1"/>
    <col min="9179" max="9179" width="4.5703125" bestFit="1" customWidth="1"/>
    <col min="9180" max="9180" width="57.5703125" customWidth="1"/>
    <col min="9181" max="9181" width="14.28515625" customWidth="1"/>
    <col min="9182" max="9182" width="0.85546875" customWidth="1"/>
    <col min="9183" max="9183" width="16.5703125" bestFit="1" customWidth="1"/>
    <col min="9184" max="9184" width="13.42578125" bestFit="1" customWidth="1"/>
    <col min="9431" max="9431" width="4.85546875" bestFit="1" customWidth="1"/>
    <col min="9432" max="9432" width="5.85546875" bestFit="1" customWidth="1"/>
    <col min="9433" max="9433" width="7.42578125" bestFit="1" customWidth="1"/>
    <col min="9434" max="9434" width="8.140625" bestFit="1" customWidth="1"/>
    <col min="9435" max="9435" width="4.5703125" bestFit="1" customWidth="1"/>
    <col min="9436" max="9436" width="57.5703125" customWidth="1"/>
    <col min="9437" max="9437" width="14.28515625" customWidth="1"/>
    <col min="9438" max="9438" width="0.85546875" customWidth="1"/>
    <col min="9439" max="9439" width="16.5703125" bestFit="1" customWidth="1"/>
    <col min="9440" max="9440" width="13.42578125" bestFit="1" customWidth="1"/>
    <col min="9687" max="9687" width="4.85546875" bestFit="1" customWidth="1"/>
    <col min="9688" max="9688" width="5.85546875" bestFit="1" customWidth="1"/>
    <col min="9689" max="9689" width="7.42578125" bestFit="1" customWidth="1"/>
    <col min="9690" max="9690" width="8.140625" bestFit="1" customWidth="1"/>
    <col min="9691" max="9691" width="4.5703125" bestFit="1" customWidth="1"/>
    <col min="9692" max="9692" width="57.5703125" customWidth="1"/>
    <col min="9693" max="9693" width="14.28515625" customWidth="1"/>
    <col min="9694" max="9694" width="0.85546875" customWidth="1"/>
    <col min="9695" max="9695" width="16.5703125" bestFit="1" customWidth="1"/>
    <col min="9696" max="9696" width="13.42578125" bestFit="1" customWidth="1"/>
    <col min="9943" max="9943" width="4.85546875" bestFit="1" customWidth="1"/>
    <col min="9944" max="9944" width="5.85546875" bestFit="1" customWidth="1"/>
    <col min="9945" max="9945" width="7.42578125" bestFit="1" customWidth="1"/>
    <col min="9946" max="9946" width="8.140625" bestFit="1" customWidth="1"/>
    <col min="9947" max="9947" width="4.5703125" bestFit="1" customWidth="1"/>
    <col min="9948" max="9948" width="57.5703125" customWidth="1"/>
    <col min="9949" max="9949" width="14.28515625" customWidth="1"/>
    <col min="9950" max="9950" width="0.85546875" customWidth="1"/>
    <col min="9951" max="9951" width="16.5703125" bestFit="1" customWidth="1"/>
    <col min="9952" max="9952" width="13.42578125" bestFit="1" customWidth="1"/>
    <col min="10199" max="10199" width="4.85546875" bestFit="1" customWidth="1"/>
    <col min="10200" max="10200" width="5.85546875" bestFit="1" customWidth="1"/>
    <col min="10201" max="10201" width="7.42578125" bestFit="1" customWidth="1"/>
    <col min="10202" max="10202" width="8.140625" bestFit="1" customWidth="1"/>
    <col min="10203" max="10203" width="4.5703125" bestFit="1" customWidth="1"/>
    <col min="10204" max="10204" width="57.5703125" customWidth="1"/>
    <col min="10205" max="10205" width="14.28515625" customWidth="1"/>
    <col min="10206" max="10206" width="0.85546875" customWidth="1"/>
    <col min="10207" max="10207" width="16.5703125" bestFit="1" customWidth="1"/>
    <col min="10208" max="10208" width="13.42578125" bestFit="1" customWidth="1"/>
    <col min="10455" max="10455" width="4.85546875" bestFit="1" customWidth="1"/>
    <col min="10456" max="10456" width="5.85546875" bestFit="1" customWidth="1"/>
    <col min="10457" max="10457" width="7.42578125" bestFit="1" customWidth="1"/>
    <col min="10458" max="10458" width="8.140625" bestFit="1" customWidth="1"/>
    <col min="10459" max="10459" width="4.5703125" bestFit="1" customWidth="1"/>
    <col min="10460" max="10460" width="57.5703125" customWidth="1"/>
    <col min="10461" max="10461" width="14.28515625" customWidth="1"/>
    <col min="10462" max="10462" width="0.85546875" customWidth="1"/>
    <col min="10463" max="10463" width="16.5703125" bestFit="1" customWidth="1"/>
    <col min="10464" max="10464" width="13.42578125" bestFit="1" customWidth="1"/>
    <col min="10711" max="10711" width="4.85546875" bestFit="1" customWidth="1"/>
    <col min="10712" max="10712" width="5.85546875" bestFit="1" customWidth="1"/>
    <col min="10713" max="10713" width="7.42578125" bestFit="1" customWidth="1"/>
    <col min="10714" max="10714" width="8.140625" bestFit="1" customWidth="1"/>
    <col min="10715" max="10715" width="4.5703125" bestFit="1" customWidth="1"/>
    <col min="10716" max="10716" width="57.5703125" customWidth="1"/>
    <col min="10717" max="10717" width="14.28515625" customWidth="1"/>
    <col min="10718" max="10718" width="0.85546875" customWidth="1"/>
    <col min="10719" max="10719" width="16.5703125" bestFit="1" customWidth="1"/>
    <col min="10720" max="10720" width="13.42578125" bestFit="1" customWidth="1"/>
    <col min="10967" max="10967" width="4.85546875" bestFit="1" customWidth="1"/>
    <col min="10968" max="10968" width="5.85546875" bestFit="1" customWidth="1"/>
    <col min="10969" max="10969" width="7.42578125" bestFit="1" customWidth="1"/>
    <col min="10970" max="10970" width="8.140625" bestFit="1" customWidth="1"/>
    <col min="10971" max="10971" width="4.5703125" bestFit="1" customWidth="1"/>
    <col min="10972" max="10972" width="57.5703125" customWidth="1"/>
    <col min="10973" max="10973" width="14.28515625" customWidth="1"/>
    <col min="10974" max="10974" width="0.85546875" customWidth="1"/>
    <col min="10975" max="10975" width="16.5703125" bestFit="1" customWidth="1"/>
    <col min="10976" max="10976" width="13.42578125" bestFit="1" customWidth="1"/>
    <col min="11223" max="11223" width="4.85546875" bestFit="1" customWidth="1"/>
    <col min="11224" max="11224" width="5.85546875" bestFit="1" customWidth="1"/>
    <col min="11225" max="11225" width="7.42578125" bestFit="1" customWidth="1"/>
    <col min="11226" max="11226" width="8.140625" bestFit="1" customWidth="1"/>
    <col min="11227" max="11227" width="4.5703125" bestFit="1" customWidth="1"/>
    <col min="11228" max="11228" width="57.5703125" customWidth="1"/>
    <col min="11229" max="11229" width="14.28515625" customWidth="1"/>
    <col min="11230" max="11230" width="0.85546875" customWidth="1"/>
    <col min="11231" max="11231" width="16.5703125" bestFit="1" customWidth="1"/>
    <col min="11232" max="11232" width="13.42578125" bestFit="1" customWidth="1"/>
    <col min="11479" max="11479" width="4.85546875" bestFit="1" customWidth="1"/>
    <col min="11480" max="11480" width="5.85546875" bestFit="1" customWidth="1"/>
    <col min="11481" max="11481" width="7.42578125" bestFit="1" customWidth="1"/>
    <col min="11482" max="11482" width="8.140625" bestFit="1" customWidth="1"/>
    <col min="11483" max="11483" width="4.5703125" bestFit="1" customWidth="1"/>
    <col min="11484" max="11484" width="57.5703125" customWidth="1"/>
    <col min="11485" max="11485" width="14.28515625" customWidth="1"/>
    <col min="11486" max="11486" width="0.85546875" customWidth="1"/>
    <col min="11487" max="11487" width="16.5703125" bestFit="1" customWidth="1"/>
    <col min="11488" max="11488" width="13.42578125" bestFit="1" customWidth="1"/>
    <col min="11735" max="11735" width="4.85546875" bestFit="1" customWidth="1"/>
    <col min="11736" max="11736" width="5.85546875" bestFit="1" customWidth="1"/>
    <col min="11737" max="11737" width="7.42578125" bestFit="1" customWidth="1"/>
    <col min="11738" max="11738" width="8.140625" bestFit="1" customWidth="1"/>
    <col min="11739" max="11739" width="4.5703125" bestFit="1" customWidth="1"/>
    <col min="11740" max="11740" width="57.5703125" customWidth="1"/>
    <col min="11741" max="11741" width="14.28515625" customWidth="1"/>
    <col min="11742" max="11742" width="0.85546875" customWidth="1"/>
    <col min="11743" max="11743" width="16.5703125" bestFit="1" customWidth="1"/>
    <col min="11744" max="11744" width="13.42578125" bestFit="1" customWidth="1"/>
    <col min="11991" max="11991" width="4.85546875" bestFit="1" customWidth="1"/>
    <col min="11992" max="11992" width="5.85546875" bestFit="1" customWidth="1"/>
    <col min="11993" max="11993" width="7.42578125" bestFit="1" customWidth="1"/>
    <col min="11994" max="11994" width="8.140625" bestFit="1" customWidth="1"/>
    <col min="11995" max="11995" width="4.5703125" bestFit="1" customWidth="1"/>
    <col min="11996" max="11996" width="57.5703125" customWidth="1"/>
    <col min="11997" max="11997" width="14.28515625" customWidth="1"/>
    <col min="11998" max="11998" width="0.85546875" customWidth="1"/>
    <col min="11999" max="11999" width="16.5703125" bestFit="1" customWidth="1"/>
    <col min="12000" max="12000" width="13.42578125" bestFit="1" customWidth="1"/>
    <col min="12247" max="12247" width="4.85546875" bestFit="1" customWidth="1"/>
    <col min="12248" max="12248" width="5.85546875" bestFit="1" customWidth="1"/>
    <col min="12249" max="12249" width="7.42578125" bestFit="1" customWidth="1"/>
    <col min="12250" max="12250" width="8.140625" bestFit="1" customWidth="1"/>
    <col min="12251" max="12251" width="4.5703125" bestFit="1" customWidth="1"/>
    <col min="12252" max="12252" width="57.5703125" customWidth="1"/>
    <col min="12253" max="12253" width="14.28515625" customWidth="1"/>
    <col min="12254" max="12254" width="0.85546875" customWidth="1"/>
    <col min="12255" max="12255" width="16.5703125" bestFit="1" customWidth="1"/>
    <col min="12256" max="12256" width="13.42578125" bestFit="1" customWidth="1"/>
    <col min="12503" max="12503" width="4.85546875" bestFit="1" customWidth="1"/>
    <col min="12504" max="12504" width="5.85546875" bestFit="1" customWidth="1"/>
    <col min="12505" max="12505" width="7.42578125" bestFit="1" customWidth="1"/>
    <col min="12506" max="12506" width="8.140625" bestFit="1" customWidth="1"/>
    <col min="12507" max="12507" width="4.5703125" bestFit="1" customWidth="1"/>
    <col min="12508" max="12508" width="57.5703125" customWidth="1"/>
    <col min="12509" max="12509" width="14.28515625" customWidth="1"/>
    <col min="12510" max="12510" width="0.85546875" customWidth="1"/>
    <col min="12511" max="12511" width="16.5703125" bestFit="1" customWidth="1"/>
    <col min="12512" max="12512" width="13.42578125" bestFit="1" customWidth="1"/>
    <col min="12759" max="12759" width="4.85546875" bestFit="1" customWidth="1"/>
    <col min="12760" max="12760" width="5.85546875" bestFit="1" customWidth="1"/>
    <col min="12761" max="12761" width="7.42578125" bestFit="1" customWidth="1"/>
    <col min="12762" max="12762" width="8.140625" bestFit="1" customWidth="1"/>
    <col min="12763" max="12763" width="4.5703125" bestFit="1" customWidth="1"/>
    <col min="12764" max="12764" width="57.5703125" customWidth="1"/>
    <col min="12765" max="12765" width="14.28515625" customWidth="1"/>
    <col min="12766" max="12766" width="0.85546875" customWidth="1"/>
    <col min="12767" max="12767" width="16.5703125" bestFit="1" customWidth="1"/>
    <col min="12768" max="12768" width="13.42578125" bestFit="1" customWidth="1"/>
    <col min="13015" max="13015" width="4.85546875" bestFit="1" customWidth="1"/>
    <col min="13016" max="13016" width="5.85546875" bestFit="1" customWidth="1"/>
    <col min="13017" max="13017" width="7.42578125" bestFit="1" customWidth="1"/>
    <col min="13018" max="13018" width="8.140625" bestFit="1" customWidth="1"/>
    <col min="13019" max="13019" width="4.5703125" bestFit="1" customWidth="1"/>
    <col min="13020" max="13020" width="57.5703125" customWidth="1"/>
    <col min="13021" max="13021" width="14.28515625" customWidth="1"/>
    <col min="13022" max="13022" width="0.85546875" customWidth="1"/>
    <col min="13023" max="13023" width="16.5703125" bestFit="1" customWidth="1"/>
    <col min="13024" max="13024" width="13.42578125" bestFit="1" customWidth="1"/>
    <col min="13271" max="13271" width="4.85546875" bestFit="1" customWidth="1"/>
    <col min="13272" max="13272" width="5.85546875" bestFit="1" customWidth="1"/>
    <col min="13273" max="13273" width="7.42578125" bestFit="1" customWidth="1"/>
    <col min="13274" max="13274" width="8.140625" bestFit="1" customWidth="1"/>
    <col min="13275" max="13275" width="4.5703125" bestFit="1" customWidth="1"/>
    <col min="13276" max="13276" width="57.5703125" customWidth="1"/>
    <col min="13277" max="13277" width="14.28515625" customWidth="1"/>
    <col min="13278" max="13278" width="0.85546875" customWidth="1"/>
    <col min="13279" max="13279" width="16.5703125" bestFit="1" customWidth="1"/>
    <col min="13280" max="13280" width="13.42578125" bestFit="1" customWidth="1"/>
    <col min="13527" max="13527" width="4.85546875" bestFit="1" customWidth="1"/>
    <col min="13528" max="13528" width="5.85546875" bestFit="1" customWidth="1"/>
    <col min="13529" max="13529" width="7.42578125" bestFit="1" customWidth="1"/>
    <col min="13530" max="13530" width="8.140625" bestFit="1" customWidth="1"/>
    <col min="13531" max="13531" width="4.5703125" bestFit="1" customWidth="1"/>
    <col min="13532" max="13532" width="57.5703125" customWidth="1"/>
    <col min="13533" max="13533" width="14.28515625" customWidth="1"/>
    <col min="13534" max="13534" width="0.85546875" customWidth="1"/>
    <col min="13535" max="13535" width="16.5703125" bestFit="1" customWidth="1"/>
    <col min="13536" max="13536" width="13.42578125" bestFit="1" customWidth="1"/>
    <col min="13783" max="13783" width="4.85546875" bestFit="1" customWidth="1"/>
    <col min="13784" max="13784" width="5.85546875" bestFit="1" customWidth="1"/>
    <col min="13785" max="13785" width="7.42578125" bestFit="1" customWidth="1"/>
    <col min="13786" max="13786" width="8.140625" bestFit="1" customWidth="1"/>
    <col min="13787" max="13787" width="4.5703125" bestFit="1" customWidth="1"/>
    <col min="13788" max="13788" width="57.5703125" customWidth="1"/>
    <col min="13789" max="13789" width="14.28515625" customWidth="1"/>
    <col min="13790" max="13790" width="0.85546875" customWidth="1"/>
    <col min="13791" max="13791" width="16.5703125" bestFit="1" customWidth="1"/>
    <col min="13792" max="13792" width="13.42578125" bestFit="1" customWidth="1"/>
    <col min="14039" max="14039" width="4.85546875" bestFit="1" customWidth="1"/>
    <col min="14040" max="14040" width="5.85546875" bestFit="1" customWidth="1"/>
    <col min="14041" max="14041" width="7.42578125" bestFit="1" customWidth="1"/>
    <col min="14042" max="14042" width="8.140625" bestFit="1" customWidth="1"/>
    <col min="14043" max="14043" width="4.5703125" bestFit="1" customWidth="1"/>
    <col min="14044" max="14044" width="57.5703125" customWidth="1"/>
    <col min="14045" max="14045" width="14.28515625" customWidth="1"/>
    <col min="14046" max="14046" width="0.85546875" customWidth="1"/>
    <col min="14047" max="14047" width="16.5703125" bestFit="1" customWidth="1"/>
    <col min="14048" max="14048" width="13.42578125" bestFit="1" customWidth="1"/>
    <col min="14295" max="14295" width="4.85546875" bestFit="1" customWidth="1"/>
    <col min="14296" max="14296" width="5.85546875" bestFit="1" customWidth="1"/>
    <col min="14297" max="14297" width="7.42578125" bestFit="1" customWidth="1"/>
    <col min="14298" max="14298" width="8.140625" bestFit="1" customWidth="1"/>
    <col min="14299" max="14299" width="4.5703125" bestFit="1" customWidth="1"/>
    <col min="14300" max="14300" width="57.5703125" customWidth="1"/>
    <col min="14301" max="14301" width="14.28515625" customWidth="1"/>
    <col min="14302" max="14302" width="0.85546875" customWidth="1"/>
    <col min="14303" max="14303" width="16.5703125" bestFit="1" customWidth="1"/>
    <col min="14304" max="14304" width="13.42578125" bestFit="1" customWidth="1"/>
    <col min="14551" max="14551" width="4.85546875" bestFit="1" customWidth="1"/>
    <col min="14552" max="14552" width="5.85546875" bestFit="1" customWidth="1"/>
    <col min="14553" max="14553" width="7.42578125" bestFit="1" customWidth="1"/>
    <col min="14554" max="14554" width="8.140625" bestFit="1" customWidth="1"/>
    <col min="14555" max="14555" width="4.5703125" bestFit="1" customWidth="1"/>
    <col min="14556" max="14556" width="57.5703125" customWidth="1"/>
    <col min="14557" max="14557" width="14.28515625" customWidth="1"/>
    <col min="14558" max="14558" width="0.85546875" customWidth="1"/>
    <col min="14559" max="14559" width="16.5703125" bestFit="1" customWidth="1"/>
    <col min="14560" max="14560" width="13.42578125" bestFit="1" customWidth="1"/>
    <col min="14807" max="14807" width="4.85546875" bestFit="1" customWidth="1"/>
    <col min="14808" max="14808" width="5.85546875" bestFit="1" customWidth="1"/>
    <col min="14809" max="14809" width="7.42578125" bestFit="1" customWidth="1"/>
    <col min="14810" max="14810" width="8.140625" bestFit="1" customWidth="1"/>
    <col min="14811" max="14811" width="4.5703125" bestFit="1" customWidth="1"/>
    <col min="14812" max="14812" width="57.5703125" customWidth="1"/>
    <col min="14813" max="14813" width="14.28515625" customWidth="1"/>
    <col min="14814" max="14814" width="0.85546875" customWidth="1"/>
    <col min="14815" max="14815" width="16.5703125" bestFit="1" customWidth="1"/>
    <col min="14816" max="14816" width="13.42578125" bestFit="1" customWidth="1"/>
    <col min="15063" max="15063" width="4.85546875" bestFit="1" customWidth="1"/>
    <col min="15064" max="15064" width="5.85546875" bestFit="1" customWidth="1"/>
    <col min="15065" max="15065" width="7.42578125" bestFit="1" customWidth="1"/>
    <col min="15066" max="15066" width="8.140625" bestFit="1" customWidth="1"/>
    <col min="15067" max="15067" width="4.5703125" bestFit="1" customWidth="1"/>
    <col min="15068" max="15068" width="57.5703125" customWidth="1"/>
    <col min="15069" max="15069" width="14.28515625" customWidth="1"/>
    <col min="15070" max="15070" width="0.85546875" customWidth="1"/>
    <col min="15071" max="15071" width="16.5703125" bestFit="1" customWidth="1"/>
    <col min="15072" max="15072" width="13.42578125" bestFit="1" customWidth="1"/>
    <col min="15319" max="15319" width="4.85546875" bestFit="1" customWidth="1"/>
    <col min="15320" max="15320" width="5.85546875" bestFit="1" customWidth="1"/>
    <col min="15321" max="15321" width="7.42578125" bestFit="1" customWidth="1"/>
    <col min="15322" max="15322" width="8.140625" bestFit="1" customWidth="1"/>
    <col min="15323" max="15323" width="4.5703125" bestFit="1" customWidth="1"/>
    <col min="15324" max="15324" width="57.5703125" customWidth="1"/>
    <col min="15325" max="15325" width="14.28515625" customWidth="1"/>
    <col min="15326" max="15326" width="0.85546875" customWidth="1"/>
    <col min="15327" max="15327" width="16.5703125" bestFit="1" customWidth="1"/>
    <col min="15328" max="15328" width="13.42578125" bestFit="1" customWidth="1"/>
    <col min="15575" max="15575" width="4.85546875" bestFit="1" customWidth="1"/>
    <col min="15576" max="15576" width="5.85546875" bestFit="1" customWidth="1"/>
    <col min="15577" max="15577" width="7.42578125" bestFit="1" customWidth="1"/>
    <col min="15578" max="15578" width="8.140625" bestFit="1" customWidth="1"/>
    <col min="15579" max="15579" width="4.5703125" bestFit="1" customWidth="1"/>
    <col min="15580" max="15580" width="57.5703125" customWidth="1"/>
    <col min="15581" max="15581" width="14.28515625" customWidth="1"/>
    <col min="15582" max="15582" width="0.85546875" customWidth="1"/>
    <col min="15583" max="15583" width="16.5703125" bestFit="1" customWidth="1"/>
    <col min="15584" max="15584" width="13.42578125" bestFit="1" customWidth="1"/>
    <col min="15831" max="15831" width="4.85546875" bestFit="1" customWidth="1"/>
    <col min="15832" max="15832" width="5.85546875" bestFit="1" customWidth="1"/>
    <col min="15833" max="15833" width="7.42578125" bestFit="1" customWidth="1"/>
    <col min="15834" max="15834" width="8.140625" bestFit="1" customWidth="1"/>
    <col min="15835" max="15835" width="4.5703125" bestFit="1" customWidth="1"/>
    <col min="15836" max="15836" width="57.5703125" customWidth="1"/>
    <col min="15837" max="15837" width="14.28515625" customWidth="1"/>
    <col min="15838" max="15838" width="0.85546875" customWidth="1"/>
    <col min="15839" max="15839" width="16.5703125" bestFit="1" customWidth="1"/>
    <col min="15840" max="15840" width="13.42578125" bestFit="1" customWidth="1"/>
    <col min="16087" max="16087" width="4.85546875" bestFit="1" customWidth="1"/>
    <col min="16088" max="16088" width="5.85546875" bestFit="1" customWidth="1"/>
    <col min="16089" max="16089" width="7.42578125" bestFit="1" customWidth="1"/>
    <col min="16090" max="16090" width="8.140625" bestFit="1" customWidth="1"/>
    <col min="16091" max="16091" width="4.5703125" bestFit="1" customWidth="1"/>
    <col min="16092" max="16092" width="57.5703125" customWidth="1"/>
    <col min="16093" max="16093" width="14.28515625" customWidth="1"/>
    <col min="16094" max="16094" width="0.85546875" customWidth="1"/>
    <col min="16095" max="16095" width="16.5703125" bestFit="1" customWidth="1"/>
    <col min="16096" max="16096" width="13.42578125" bestFit="1" customWidth="1"/>
  </cols>
  <sheetData>
    <row r="1" spans="1:22" x14ac:dyDescent="0.25">
      <c r="A1" s="64"/>
      <c r="B1" s="64"/>
      <c r="C1" s="64"/>
      <c r="D1" s="64"/>
      <c r="E1" s="64"/>
      <c r="F1" s="64"/>
      <c r="G1" s="64"/>
      <c r="H1" s="65"/>
      <c r="I1" s="1"/>
    </row>
    <row r="2" spans="1:22" x14ac:dyDescent="0.25">
      <c r="A2" s="64"/>
      <c r="B2" s="64"/>
      <c r="C2" s="64"/>
      <c r="D2" s="64"/>
      <c r="E2" s="64"/>
      <c r="F2" s="64"/>
      <c r="G2" s="64"/>
      <c r="H2" s="65"/>
      <c r="I2" s="1"/>
    </row>
    <row r="3" spans="1:22" x14ac:dyDescent="0.25">
      <c r="A3" s="64"/>
      <c r="B3" s="64"/>
      <c r="C3" s="64"/>
      <c r="D3" s="64"/>
      <c r="E3" s="64"/>
      <c r="F3" s="64"/>
      <c r="G3" s="64"/>
      <c r="H3" s="65"/>
      <c r="I3" s="1"/>
    </row>
    <row r="4" spans="1:22" x14ac:dyDescent="0.25">
      <c r="A4" s="64"/>
      <c r="B4" s="64"/>
      <c r="C4" s="64"/>
      <c r="D4" s="64"/>
      <c r="E4" s="64"/>
      <c r="F4" s="64"/>
      <c r="G4" s="64"/>
      <c r="H4" s="65"/>
      <c r="I4" s="1"/>
    </row>
    <row r="5" spans="1:22" s="246" customFormat="1" ht="20.25" customHeight="1" x14ac:dyDescent="0.3">
      <c r="A5" s="270"/>
      <c r="B5" s="270"/>
      <c r="C5" s="270"/>
      <c r="D5" s="270"/>
      <c r="E5" s="270"/>
      <c r="F5" s="270"/>
      <c r="G5" s="270"/>
      <c r="H5" s="270"/>
      <c r="I5" s="245"/>
      <c r="J5" s="270" t="s">
        <v>152</v>
      </c>
      <c r="K5" s="270"/>
      <c r="L5" s="270"/>
      <c r="M5" s="270"/>
      <c r="N5" s="270"/>
      <c r="O5" s="270"/>
      <c r="P5" s="270"/>
      <c r="Q5" s="270"/>
      <c r="R5" s="262"/>
      <c r="S5" s="262"/>
      <c r="T5" s="262"/>
    </row>
    <row r="6" spans="1:22" s="247" customFormat="1" ht="20.25" customHeight="1" x14ac:dyDescent="0.3">
      <c r="A6" s="270"/>
      <c r="B6" s="270"/>
      <c r="C6" s="270"/>
      <c r="D6" s="270"/>
      <c r="E6" s="270"/>
      <c r="F6" s="270"/>
      <c r="G6" s="270"/>
      <c r="H6" s="270"/>
      <c r="I6" s="47"/>
      <c r="J6" s="270" t="s">
        <v>158</v>
      </c>
      <c r="K6" s="270"/>
      <c r="L6" s="270"/>
      <c r="M6" s="270"/>
      <c r="N6" s="270"/>
      <c r="O6" s="270"/>
      <c r="P6" s="270"/>
      <c r="Q6" s="270"/>
      <c r="R6" s="262"/>
      <c r="S6" s="262"/>
      <c r="T6" s="262"/>
    </row>
    <row r="7" spans="1:22" s="247" customFormat="1" ht="20.25" customHeight="1" x14ac:dyDescent="0.3">
      <c r="A7" s="270"/>
      <c r="B7" s="270"/>
      <c r="C7" s="270"/>
      <c r="D7" s="270"/>
      <c r="E7" s="270"/>
      <c r="F7" s="270"/>
      <c r="G7" s="270"/>
      <c r="H7" s="270"/>
      <c r="I7" s="47"/>
      <c r="J7" s="270" t="s">
        <v>153</v>
      </c>
      <c r="K7" s="270"/>
      <c r="L7" s="270"/>
      <c r="M7" s="270"/>
      <c r="N7" s="270"/>
      <c r="O7" s="270"/>
      <c r="P7" s="270"/>
      <c r="Q7" s="270"/>
      <c r="R7" s="262"/>
      <c r="S7" s="262"/>
      <c r="T7" s="262"/>
    </row>
    <row r="8" spans="1:22" s="174" customFormat="1" ht="16.5" thickBot="1" x14ac:dyDescent="0.3">
      <c r="A8" s="141"/>
      <c r="B8" s="141"/>
      <c r="C8" s="141"/>
      <c r="D8" s="141"/>
      <c r="E8" s="141"/>
      <c r="F8" s="69"/>
      <c r="G8" s="69"/>
      <c r="H8" s="70"/>
      <c r="I8" s="33"/>
    </row>
    <row r="9" spans="1:22" ht="48" thickBot="1" x14ac:dyDescent="0.3">
      <c r="A9" s="71"/>
      <c r="B9" s="71"/>
      <c r="C9" s="72"/>
      <c r="D9" s="72"/>
      <c r="E9" s="73"/>
      <c r="F9" s="77"/>
      <c r="G9" s="78" t="s">
        <v>126</v>
      </c>
      <c r="H9" s="79" t="s">
        <v>127</v>
      </c>
      <c r="I9" s="2" t="s">
        <v>3</v>
      </c>
      <c r="J9" s="79" t="s">
        <v>130</v>
      </c>
      <c r="K9" s="79" t="s">
        <v>132</v>
      </c>
      <c r="L9" s="79" t="s">
        <v>135</v>
      </c>
      <c r="M9" s="79" t="s">
        <v>137</v>
      </c>
      <c r="N9" s="79" t="s">
        <v>139</v>
      </c>
      <c r="O9" s="79" t="s">
        <v>141</v>
      </c>
      <c r="P9" s="79" t="s">
        <v>143</v>
      </c>
      <c r="Q9" s="79" t="s">
        <v>155</v>
      </c>
      <c r="R9" s="79" t="s">
        <v>156</v>
      </c>
      <c r="S9" s="79" t="s">
        <v>157</v>
      </c>
      <c r="T9" s="79" t="s">
        <v>159</v>
      </c>
      <c r="U9" s="175" t="s">
        <v>128</v>
      </c>
      <c r="V9" s="198" t="s">
        <v>3</v>
      </c>
    </row>
    <row r="10" spans="1:22" ht="32.25" thickBot="1" x14ac:dyDescent="0.3">
      <c r="A10" s="80" t="s">
        <v>4</v>
      </c>
      <c r="B10" s="78" t="s">
        <v>5</v>
      </c>
      <c r="C10" s="81" t="s">
        <v>6</v>
      </c>
      <c r="D10" s="78" t="s">
        <v>7</v>
      </c>
      <c r="E10" s="78" t="s">
        <v>8</v>
      </c>
      <c r="F10" s="71" t="s">
        <v>9</v>
      </c>
      <c r="G10" s="82" t="s">
        <v>10</v>
      </c>
      <c r="H10" s="83" t="s">
        <v>10</v>
      </c>
      <c r="I10" s="3" t="s">
        <v>10</v>
      </c>
      <c r="J10" s="83" t="s">
        <v>10</v>
      </c>
      <c r="K10" s="83" t="s">
        <v>10</v>
      </c>
      <c r="L10" s="83" t="s">
        <v>10</v>
      </c>
      <c r="M10" s="83" t="s">
        <v>10</v>
      </c>
      <c r="N10" s="83" t="s">
        <v>10</v>
      </c>
      <c r="O10" s="83" t="s">
        <v>10</v>
      </c>
      <c r="P10" s="83" t="s">
        <v>10</v>
      </c>
      <c r="Q10" s="83" t="s">
        <v>10</v>
      </c>
      <c r="R10" s="83" t="s">
        <v>10</v>
      </c>
      <c r="S10" s="83" t="s">
        <v>10</v>
      </c>
      <c r="T10" s="83" t="s">
        <v>10</v>
      </c>
      <c r="U10" s="83" t="s">
        <v>10</v>
      </c>
      <c r="V10" s="199" t="s">
        <v>10</v>
      </c>
    </row>
    <row r="11" spans="1:22" ht="15.75" x14ac:dyDescent="0.25">
      <c r="A11" s="84"/>
      <c r="B11" s="85"/>
      <c r="C11" s="86"/>
      <c r="D11" s="87"/>
      <c r="E11" s="88"/>
      <c r="F11" s="89"/>
      <c r="G11" s="90"/>
      <c r="H11" s="91"/>
      <c r="I11" s="4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200"/>
    </row>
    <row r="12" spans="1:22" ht="16.5" thickBot="1" x14ac:dyDescent="0.3">
      <c r="A12" s="85">
        <v>2</v>
      </c>
      <c r="B12" s="85">
        <v>1</v>
      </c>
      <c r="C12" s="92"/>
      <c r="D12" s="85"/>
      <c r="E12" s="93"/>
      <c r="F12" s="94" t="s">
        <v>11</v>
      </c>
      <c r="G12" s="95">
        <f>G13+G31+G42+G47-1</f>
        <v>26426720</v>
      </c>
      <c r="H12" s="165">
        <f t="shared" ref="H12:V12" si="0">H13+H31+H42+H47</f>
        <v>1661145.73</v>
      </c>
      <c r="I12" s="5" t="e">
        <f t="shared" si="0"/>
        <v>#REF!</v>
      </c>
      <c r="J12" s="165">
        <f t="shared" si="0"/>
        <v>1673803.74</v>
      </c>
      <c r="K12" s="165">
        <f t="shared" si="0"/>
        <v>1673803.74</v>
      </c>
      <c r="L12" s="165">
        <f t="shared" si="0"/>
        <v>1667742.0209999999</v>
      </c>
      <c r="M12" s="165">
        <f t="shared" si="0"/>
        <v>1673803.74</v>
      </c>
      <c r="N12" s="165">
        <f t="shared" si="0"/>
        <v>1716335.74</v>
      </c>
      <c r="O12" s="165">
        <f t="shared" si="0"/>
        <v>1673803.74</v>
      </c>
      <c r="P12" s="165">
        <f t="shared" si="0"/>
        <v>2738867.99</v>
      </c>
      <c r="Q12" s="165">
        <f t="shared" si="0"/>
        <v>2548633.7400000002</v>
      </c>
      <c r="R12" s="165">
        <f t="shared" si="0"/>
        <v>1821304.08</v>
      </c>
      <c r="S12" s="165">
        <f t="shared" si="0"/>
        <v>1894895.14</v>
      </c>
      <c r="T12" s="165">
        <f t="shared" si="0"/>
        <v>4636189.8099999996</v>
      </c>
      <c r="U12" s="165">
        <f t="shared" si="0"/>
        <v>25380329.211000003</v>
      </c>
      <c r="V12" s="201">
        <f t="shared" si="0"/>
        <v>1046391.7890000003</v>
      </c>
    </row>
    <row r="13" spans="1:22" ht="16.5" thickBot="1" x14ac:dyDescent="0.3">
      <c r="A13" s="85">
        <v>2</v>
      </c>
      <c r="B13" s="85">
        <v>1</v>
      </c>
      <c r="C13" s="92">
        <v>1</v>
      </c>
      <c r="D13" s="85"/>
      <c r="E13" s="93"/>
      <c r="F13" s="94" t="s">
        <v>12</v>
      </c>
      <c r="G13" s="96">
        <f>G14+G17+G22+G25</f>
        <v>21231968</v>
      </c>
      <c r="H13" s="96">
        <f>H14+H17+H22+H25</f>
        <v>1454830</v>
      </c>
      <c r="I13" s="6" t="e">
        <f t="shared" ref="I13:V13" si="1">I14+I17+I22+I25</f>
        <v>#REF!</v>
      </c>
      <c r="J13" s="96">
        <f t="shared" si="1"/>
        <v>1464830</v>
      </c>
      <c r="K13" s="96">
        <f t="shared" si="1"/>
        <v>1464830</v>
      </c>
      <c r="L13" s="96">
        <f t="shared" si="1"/>
        <v>1464830</v>
      </c>
      <c r="M13" s="96">
        <f t="shared" si="1"/>
        <v>1464830</v>
      </c>
      <c r="N13" s="96">
        <f t="shared" si="1"/>
        <v>1507362</v>
      </c>
      <c r="O13" s="96">
        <f t="shared" si="1"/>
        <v>1464830</v>
      </c>
      <c r="P13" s="96">
        <f t="shared" si="1"/>
        <v>1464830</v>
      </c>
      <c r="Q13" s="96">
        <f>Q14+Q17+Q22+Q25</f>
        <v>1464830</v>
      </c>
      <c r="R13" s="96">
        <f>R14+R17+R22+R25</f>
        <v>1511668.71</v>
      </c>
      <c r="S13" s="96">
        <f>S14+S17+S22+S25</f>
        <v>1530830</v>
      </c>
      <c r="T13" s="96">
        <f>T14+T17+T22+T25</f>
        <v>2952294.67</v>
      </c>
      <c r="U13" s="96">
        <f t="shared" si="1"/>
        <v>19210795.380000003</v>
      </c>
      <c r="V13" s="202">
        <f t="shared" si="1"/>
        <v>2021172.62</v>
      </c>
    </row>
    <row r="14" spans="1:22" ht="32.25" thickBot="1" x14ac:dyDescent="0.3">
      <c r="A14" s="85">
        <v>2</v>
      </c>
      <c r="B14" s="85">
        <v>1</v>
      </c>
      <c r="C14" s="92">
        <v>1</v>
      </c>
      <c r="D14" s="85">
        <v>1</v>
      </c>
      <c r="E14" s="93"/>
      <c r="F14" s="94" t="s">
        <v>13</v>
      </c>
      <c r="G14" s="97">
        <f>G15</f>
        <v>6300000</v>
      </c>
      <c r="H14" s="98">
        <f>H15</f>
        <v>525000</v>
      </c>
      <c r="I14" s="7" t="e">
        <f t="shared" ref="I14:V14" si="2">I15</f>
        <v>#REF!</v>
      </c>
      <c r="J14" s="98">
        <f t="shared" si="2"/>
        <v>525000</v>
      </c>
      <c r="K14" s="98">
        <f t="shared" si="2"/>
        <v>525000</v>
      </c>
      <c r="L14" s="98">
        <f t="shared" si="2"/>
        <v>525000</v>
      </c>
      <c r="M14" s="98">
        <f t="shared" si="2"/>
        <v>525000</v>
      </c>
      <c r="N14" s="98">
        <f t="shared" si="2"/>
        <v>525000</v>
      </c>
      <c r="O14" s="98">
        <f t="shared" si="2"/>
        <v>525000</v>
      </c>
      <c r="P14" s="98">
        <f t="shared" si="2"/>
        <v>525000</v>
      </c>
      <c r="Q14" s="98">
        <f t="shared" si="2"/>
        <v>525000</v>
      </c>
      <c r="R14" s="98">
        <f t="shared" si="2"/>
        <v>525000</v>
      </c>
      <c r="S14" s="98">
        <f t="shared" si="2"/>
        <v>525000</v>
      </c>
      <c r="T14" s="98">
        <f t="shared" si="2"/>
        <v>525000</v>
      </c>
      <c r="U14" s="98">
        <f t="shared" si="2"/>
        <v>6300000</v>
      </c>
      <c r="V14" s="203">
        <f t="shared" si="2"/>
        <v>0</v>
      </c>
    </row>
    <row r="15" spans="1:22" ht="15.75" x14ac:dyDescent="0.25">
      <c r="A15" s="85">
        <v>2</v>
      </c>
      <c r="B15" s="85">
        <v>1</v>
      </c>
      <c r="C15" s="92">
        <v>1</v>
      </c>
      <c r="D15" s="85">
        <v>1</v>
      </c>
      <c r="E15" s="85">
        <v>1</v>
      </c>
      <c r="F15" s="99" t="s">
        <v>14</v>
      </c>
      <c r="G15" s="100">
        <v>6300000</v>
      </c>
      <c r="H15" s="101">
        <f>225000+300000</f>
        <v>525000</v>
      </c>
      <c r="I15" s="8" t="e">
        <f>+G15-#REF!</f>
        <v>#REF!</v>
      </c>
      <c r="J15" s="101">
        <f t="shared" ref="J15:T15" si="3">225000+300000</f>
        <v>525000</v>
      </c>
      <c r="K15" s="101">
        <f t="shared" si="3"/>
        <v>525000</v>
      </c>
      <c r="L15" s="101">
        <f t="shared" si="3"/>
        <v>525000</v>
      </c>
      <c r="M15" s="101">
        <f t="shared" si="3"/>
        <v>525000</v>
      </c>
      <c r="N15" s="101">
        <f t="shared" si="3"/>
        <v>525000</v>
      </c>
      <c r="O15" s="101">
        <f t="shared" si="3"/>
        <v>525000</v>
      </c>
      <c r="P15" s="101">
        <f t="shared" si="3"/>
        <v>525000</v>
      </c>
      <c r="Q15" s="101">
        <f t="shared" si="3"/>
        <v>525000</v>
      </c>
      <c r="R15" s="101">
        <f t="shared" si="3"/>
        <v>525000</v>
      </c>
      <c r="S15" s="101">
        <f t="shared" si="3"/>
        <v>525000</v>
      </c>
      <c r="T15" s="101">
        <f t="shared" si="3"/>
        <v>525000</v>
      </c>
      <c r="U15" s="101">
        <f>+H15+J15+K15+L15+M15+N15+O15+P15+Q15+R15+S15+T15</f>
        <v>6300000</v>
      </c>
      <c r="V15" s="204">
        <f>+G15-U15</f>
        <v>0</v>
      </c>
    </row>
    <row r="16" spans="1:22" ht="15.75" x14ac:dyDescent="0.25">
      <c r="A16" s="85"/>
      <c r="B16" s="85"/>
      <c r="C16" s="92"/>
      <c r="D16" s="85"/>
      <c r="E16" s="84"/>
      <c r="F16" s="99"/>
      <c r="G16" s="102"/>
      <c r="H16" s="103"/>
      <c r="I16" s="9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205"/>
    </row>
    <row r="17" spans="1:23" ht="48" thickBot="1" x14ac:dyDescent="0.3">
      <c r="A17" s="85">
        <v>2</v>
      </c>
      <c r="B17" s="85">
        <v>1</v>
      </c>
      <c r="C17" s="92">
        <v>1</v>
      </c>
      <c r="D17" s="85">
        <v>2</v>
      </c>
      <c r="E17" s="93"/>
      <c r="F17" s="104" t="s">
        <v>15</v>
      </c>
      <c r="G17" s="95">
        <f>G18</f>
        <v>13298740</v>
      </c>
      <c r="H17" s="105">
        <f>SUM(H18:H20)</f>
        <v>929830</v>
      </c>
      <c r="I17" s="10" t="e">
        <f>SUM(I18:I20)</f>
        <v>#REF!</v>
      </c>
      <c r="J17" s="105">
        <f>SUM(J18:J20)</f>
        <v>939830</v>
      </c>
      <c r="K17" s="105">
        <f>SUM(K18:K20)</f>
        <v>939830</v>
      </c>
      <c r="L17" s="105">
        <f t="shared" ref="L17:V17" si="4">SUM(L18:L20)</f>
        <v>939830</v>
      </c>
      <c r="M17" s="105">
        <f t="shared" si="4"/>
        <v>939830</v>
      </c>
      <c r="N17" s="105">
        <f t="shared" si="4"/>
        <v>939830</v>
      </c>
      <c r="O17" s="105">
        <f t="shared" si="4"/>
        <v>939830</v>
      </c>
      <c r="P17" s="105">
        <f t="shared" si="4"/>
        <v>939830</v>
      </c>
      <c r="Q17" s="105">
        <f t="shared" si="4"/>
        <v>939830</v>
      </c>
      <c r="R17" s="105">
        <f t="shared" si="4"/>
        <v>986668.71</v>
      </c>
      <c r="S17" s="105">
        <f t="shared" si="4"/>
        <v>1005830</v>
      </c>
      <c r="T17" s="105">
        <f t="shared" si="4"/>
        <v>1005830</v>
      </c>
      <c r="U17" s="105">
        <f t="shared" si="4"/>
        <v>11446798.710000001</v>
      </c>
      <c r="V17" s="206">
        <f t="shared" si="4"/>
        <v>1851941.29</v>
      </c>
    </row>
    <row r="18" spans="1:23" ht="31.5" x14ac:dyDescent="0.25">
      <c r="A18" s="85">
        <v>2</v>
      </c>
      <c r="B18" s="85">
        <v>1</v>
      </c>
      <c r="C18" s="92">
        <v>1</v>
      </c>
      <c r="D18" s="85">
        <v>2</v>
      </c>
      <c r="E18" s="85">
        <v>1</v>
      </c>
      <c r="F18" s="106" t="s">
        <v>16</v>
      </c>
      <c r="G18" s="107">
        <v>13298740</v>
      </c>
      <c r="H18" s="103">
        <f>51400+75378+60885+73500+48920+80500+93500+73500+122117+110065+85065</f>
        <v>874830</v>
      </c>
      <c r="I18" s="9" t="e">
        <f>+G18-#REF!</f>
        <v>#REF!</v>
      </c>
      <c r="J18" s="103">
        <f t="shared" ref="J18:T18" si="5">51400+75378+60885+73500+48920+80500+93500+73500+122117+110065+85065+65000</f>
        <v>939830</v>
      </c>
      <c r="K18" s="103">
        <f t="shared" si="5"/>
        <v>939830</v>
      </c>
      <c r="L18" s="103">
        <f t="shared" si="5"/>
        <v>939830</v>
      </c>
      <c r="M18" s="103">
        <f t="shared" si="5"/>
        <v>939830</v>
      </c>
      <c r="N18" s="103">
        <f t="shared" si="5"/>
        <v>939830</v>
      </c>
      <c r="O18" s="103">
        <f t="shared" si="5"/>
        <v>939830</v>
      </c>
      <c r="P18" s="103">
        <f t="shared" si="5"/>
        <v>939830</v>
      </c>
      <c r="Q18" s="103">
        <f t="shared" si="5"/>
        <v>939830</v>
      </c>
      <c r="R18" s="103">
        <f t="shared" si="5"/>
        <v>939830</v>
      </c>
      <c r="S18" s="103">
        <f t="shared" si="5"/>
        <v>939830</v>
      </c>
      <c r="T18" s="103">
        <f t="shared" si="5"/>
        <v>939830</v>
      </c>
      <c r="U18" s="103">
        <f>+H18+J18+K18+L18+M18+N18+O18+P18+Q18+R18+S18+T18</f>
        <v>11212960</v>
      </c>
      <c r="V18" s="205">
        <f>+G18-U18</f>
        <v>2085780</v>
      </c>
      <c r="W18" s="261"/>
    </row>
    <row r="19" spans="1:23" ht="15.75" x14ac:dyDescent="0.25">
      <c r="A19" s="85">
        <v>2</v>
      </c>
      <c r="B19" s="85">
        <v>1</v>
      </c>
      <c r="C19" s="92">
        <v>1</v>
      </c>
      <c r="D19" s="85">
        <v>2</v>
      </c>
      <c r="E19" s="85">
        <v>2</v>
      </c>
      <c r="F19" s="106" t="s">
        <v>17</v>
      </c>
      <c r="G19" s="102"/>
      <c r="H19" s="103"/>
      <c r="I19" s="9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>
        <f t="shared" ref="U19:U20" si="6">+H19+J19+K19+L19+M19+N19+O19+P19+Q19+R19+S19+T19</f>
        <v>0</v>
      </c>
      <c r="V19" s="205"/>
    </row>
    <row r="20" spans="1:23" ht="31.5" x14ac:dyDescent="0.25">
      <c r="A20" s="85">
        <v>2</v>
      </c>
      <c r="B20" s="85">
        <v>1</v>
      </c>
      <c r="C20" s="92">
        <v>1</v>
      </c>
      <c r="D20" s="85">
        <v>2</v>
      </c>
      <c r="E20" s="85">
        <v>5</v>
      </c>
      <c r="F20" s="106" t="s">
        <v>18</v>
      </c>
      <c r="G20" s="108"/>
      <c r="H20" s="110">
        <v>55000</v>
      </c>
      <c r="I20" s="12" t="e">
        <f>+G20-#REF!</f>
        <v>#REF!</v>
      </c>
      <c r="J20" s="110"/>
      <c r="K20" s="110"/>
      <c r="L20" s="110"/>
      <c r="M20" s="110"/>
      <c r="N20" s="110"/>
      <c r="O20" s="110"/>
      <c r="P20" s="110"/>
      <c r="Q20" s="110"/>
      <c r="R20" s="110">
        <v>46838.71</v>
      </c>
      <c r="S20" s="110">
        <v>66000</v>
      </c>
      <c r="T20" s="110">
        <v>66000</v>
      </c>
      <c r="U20" s="103">
        <f t="shared" si="6"/>
        <v>233838.71</v>
      </c>
      <c r="V20" s="207">
        <f>G20-U20</f>
        <v>-233838.71</v>
      </c>
    </row>
    <row r="21" spans="1:23" ht="15.75" x14ac:dyDescent="0.25">
      <c r="A21" s="85"/>
      <c r="B21" s="85"/>
      <c r="C21" s="92"/>
      <c r="D21" s="85"/>
      <c r="E21" s="85"/>
      <c r="F21" s="106"/>
      <c r="G21" s="108"/>
      <c r="H21" s="110" t="s">
        <v>19</v>
      </c>
      <c r="I21" s="12"/>
      <c r="J21" s="110" t="s">
        <v>19</v>
      </c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 t="s">
        <v>19</v>
      </c>
      <c r="V21" s="207"/>
    </row>
    <row r="22" spans="1:23" ht="16.5" thickBot="1" x14ac:dyDescent="0.3">
      <c r="A22" s="85">
        <v>2</v>
      </c>
      <c r="B22" s="85">
        <v>1</v>
      </c>
      <c r="C22" s="92">
        <v>1</v>
      </c>
      <c r="D22" s="85">
        <v>4</v>
      </c>
      <c r="E22" s="93"/>
      <c r="F22" s="104" t="s">
        <v>20</v>
      </c>
      <c r="G22" s="95">
        <f t="shared" ref="G22:V22" si="7">G23</f>
        <v>1633228</v>
      </c>
      <c r="H22" s="96">
        <f t="shared" si="7"/>
        <v>0</v>
      </c>
      <c r="I22" s="6" t="e">
        <f t="shared" si="7"/>
        <v>#REF!</v>
      </c>
      <c r="J22" s="96">
        <f t="shared" si="7"/>
        <v>0</v>
      </c>
      <c r="K22" s="96">
        <f t="shared" si="7"/>
        <v>0</v>
      </c>
      <c r="L22" s="96">
        <f t="shared" si="7"/>
        <v>0</v>
      </c>
      <c r="M22" s="96">
        <f t="shared" si="7"/>
        <v>0</v>
      </c>
      <c r="N22" s="105">
        <f t="shared" si="7"/>
        <v>42532</v>
      </c>
      <c r="O22" s="105">
        <f t="shared" si="7"/>
        <v>0</v>
      </c>
      <c r="P22" s="105">
        <f t="shared" si="7"/>
        <v>0</v>
      </c>
      <c r="Q22" s="105">
        <f t="shared" si="7"/>
        <v>0</v>
      </c>
      <c r="R22" s="105">
        <f t="shared" si="7"/>
        <v>0</v>
      </c>
      <c r="S22" s="105">
        <f t="shared" si="7"/>
        <v>0</v>
      </c>
      <c r="T22" s="105">
        <f t="shared" si="7"/>
        <v>1421464.67</v>
      </c>
      <c r="U22" s="118">
        <f>U23</f>
        <v>1463996.67</v>
      </c>
      <c r="V22" s="202">
        <f t="shared" si="7"/>
        <v>169231.33000000007</v>
      </c>
    </row>
    <row r="23" spans="1:23" ht="15.75" x14ac:dyDescent="0.25">
      <c r="A23" s="85">
        <v>2</v>
      </c>
      <c r="B23" s="85">
        <v>1</v>
      </c>
      <c r="C23" s="92">
        <v>1</v>
      </c>
      <c r="D23" s="85">
        <v>4</v>
      </c>
      <c r="E23" s="85">
        <v>1</v>
      </c>
      <c r="F23" s="106" t="s">
        <v>21</v>
      </c>
      <c r="G23" s="107">
        <v>1633228</v>
      </c>
      <c r="H23" s="109">
        <v>0</v>
      </c>
      <c r="I23" s="13" t="e">
        <f>+G23-#REF!</f>
        <v>#REF!</v>
      </c>
      <c r="J23" s="109">
        <v>0</v>
      </c>
      <c r="K23" s="109"/>
      <c r="L23" s="109"/>
      <c r="M23" s="109"/>
      <c r="N23" s="110">
        <v>42532</v>
      </c>
      <c r="O23" s="110"/>
      <c r="P23" s="110"/>
      <c r="Q23" s="110"/>
      <c r="R23" s="110"/>
      <c r="S23" s="110"/>
      <c r="T23" s="110">
        <f>51400+75378+60885+73500+48920+80500+93500+73500+122117+110065+42533+64166.67+225000+300000</f>
        <v>1421464.67</v>
      </c>
      <c r="U23" s="103">
        <f>+H23+J23+K23+L23+M23+N23+O23+P23+Q23+R23+S23+T23</f>
        <v>1463996.67</v>
      </c>
      <c r="V23" s="208">
        <f>G23-U23</f>
        <v>169231.33000000007</v>
      </c>
    </row>
    <row r="24" spans="1:23" ht="15.75" x14ac:dyDescent="0.25">
      <c r="A24" s="85"/>
      <c r="B24" s="85"/>
      <c r="C24" s="92"/>
      <c r="D24" s="85"/>
      <c r="E24" s="85"/>
      <c r="F24" s="106"/>
      <c r="G24" s="108"/>
      <c r="H24" s="110"/>
      <c r="I24" s="12"/>
      <c r="J24" s="110"/>
      <c r="K24" s="110"/>
      <c r="L24" s="110"/>
      <c r="M24" s="110"/>
      <c r="N24" s="110"/>
      <c r="O24" s="110" t="s">
        <v>142</v>
      </c>
      <c r="P24" s="110"/>
      <c r="Q24" s="110"/>
      <c r="R24" s="110"/>
      <c r="S24" s="110"/>
      <c r="T24" s="110"/>
      <c r="U24" s="110"/>
      <c r="V24" s="207"/>
    </row>
    <row r="25" spans="1:23" ht="16.5" thickBot="1" x14ac:dyDescent="0.3">
      <c r="A25" s="85">
        <v>2</v>
      </c>
      <c r="B25" s="85">
        <v>1</v>
      </c>
      <c r="C25" s="92">
        <v>1</v>
      </c>
      <c r="D25" s="85">
        <v>5</v>
      </c>
      <c r="E25" s="93"/>
      <c r="F25" s="104" t="s">
        <v>22</v>
      </c>
      <c r="G25" s="111">
        <f>G26+G29</f>
        <v>0</v>
      </c>
      <c r="H25" s="105">
        <f t="shared" ref="H25:V25" si="8">H26+H27+H28+H29</f>
        <v>0</v>
      </c>
      <c r="I25" s="10">
        <f t="shared" si="8"/>
        <v>0</v>
      </c>
      <c r="J25" s="105">
        <f t="shared" si="8"/>
        <v>0</v>
      </c>
      <c r="K25" s="105">
        <f t="shared" si="8"/>
        <v>0</v>
      </c>
      <c r="L25" s="105">
        <f t="shared" si="8"/>
        <v>0</v>
      </c>
      <c r="M25" s="105">
        <f t="shared" si="8"/>
        <v>0</v>
      </c>
      <c r="N25" s="105">
        <f t="shared" si="8"/>
        <v>0</v>
      </c>
      <c r="O25" s="105">
        <f t="shared" si="8"/>
        <v>0</v>
      </c>
      <c r="P25" s="105">
        <f t="shared" si="8"/>
        <v>0</v>
      </c>
      <c r="Q25" s="105">
        <f t="shared" si="8"/>
        <v>0</v>
      </c>
      <c r="R25" s="105">
        <f t="shared" si="8"/>
        <v>0</v>
      </c>
      <c r="S25" s="105">
        <f t="shared" si="8"/>
        <v>0</v>
      </c>
      <c r="T25" s="105">
        <f t="shared" si="8"/>
        <v>0</v>
      </c>
      <c r="U25" s="105">
        <f t="shared" si="8"/>
        <v>0</v>
      </c>
      <c r="V25" s="206">
        <f t="shared" si="8"/>
        <v>0</v>
      </c>
    </row>
    <row r="26" spans="1:23" ht="15.75" x14ac:dyDescent="0.25">
      <c r="A26" s="85">
        <v>2</v>
      </c>
      <c r="B26" s="85">
        <v>1</v>
      </c>
      <c r="C26" s="92">
        <v>1</v>
      </c>
      <c r="D26" s="85">
        <v>5</v>
      </c>
      <c r="E26" s="85">
        <v>1</v>
      </c>
      <c r="F26" s="106" t="s">
        <v>22</v>
      </c>
      <c r="G26" s="108"/>
      <c r="H26" s="110">
        <v>0</v>
      </c>
      <c r="I26" s="12">
        <v>0</v>
      </c>
      <c r="J26" s="110">
        <v>0</v>
      </c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03">
        <f>+H26+J26+K26+L26+M26+N26+O26+P26+Q26+R26+S26+T26</f>
        <v>0</v>
      </c>
      <c r="V26" s="207">
        <f>G26-U26</f>
        <v>0</v>
      </c>
    </row>
    <row r="27" spans="1:23" ht="31.5" x14ac:dyDescent="0.25">
      <c r="A27" s="85">
        <v>2</v>
      </c>
      <c r="B27" s="85">
        <v>1</v>
      </c>
      <c r="C27" s="92">
        <v>1</v>
      </c>
      <c r="D27" s="85">
        <v>5</v>
      </c>
      <c r="E27" s="85">
        <v>2</v>
      </c>
      <c r="F27" s="106" t="s">
        <v>23</v>
      </c>
      <c r="G27" s="108"/>
      <c r="H27" s="110">
        <v>0</v>
      </c>
      <c r="I27" s="12">
        <v>0</v>
      </c>
      <c r="J27" s="110">
        <v>0</v>
      </c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03">
        <f t="shared" ref="U27:U28" si="9">+H27+J27+K27+L27+M27+N27+O27+P27+Q27+R27+S27+T27</f>
        <v>0</v>
      </c>
      <c r="V27" s="207">
        <f>G27-U27</f>
        <v>0</v>
      </c>
    </row>
    <row r="28" spans="1:23" ht="31.5" x14ac:dyDescent="0.25">
      <c r="A28" s="85">
        <v>2</v>
      </c>
      <c r="B28" s="85">
        <v>1</v>
      </c>
      <c r="C28" s="92">
        <v>1</v>
      </c>
      <c r="D28" s="85">
        <v>5</v>
      </c>
      <c r="E28" s="85">
        <v>3</v>
      </c>
      <c r="F28" s="106" t="s">
        <v>24</v>
      </c>
      <c r="G28" s="108"/>
      <c r="H28" s="110">
        <v>0</v>
      </c>
      <c r="I28" s="12">
        <v>0</v>
      </c>
      <c r="J28" s="110">
        <v>0</v>
      </c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03">
        <f t="shared" si="9"/>
        <v>0</v>
      </c>
      <c r="V28" s="207">
        <f>G28-U28</f>
        <v>0</v>
      </c>
    </row>
    <row r="29" spans="1:23" ht="31.5" x14ac:dyDescent="0.25">
      <c r="A29" s="85">
        <v>2</v>
      </c>
      <c r="B29" s="85">
        <v>1</v>
      </c>
      <c r="C29" s="92">
        <v>1</v>
      </c>
      <c r="D29" s="85">
        <v>5</v>
      </c>
      <c r="E29" s="85">
        <v>4</v>
      </c>
      <c r="F29" s="106" t="s">
        <v>25</v>
      </c>
      <c r="G29" s="108"/>
      <c r="H29" s="110"/>
      <c r="I29" s="12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207"/>
    </row>
    <row r="30" spans="1:23" ht="16.5" thickBot="1" x14ac:dyDescent="0.3">
      <c r="A30" s="85"/>
      <c r="B30" s="85"/>
      <c r="C30" s="92"/>
      <c r="D30" s="85"/>
      <c r="E30" s="85"/>
      <c r="F30" s="106"/>
      <c r="G30" s="108"/>
      <c r="H30" s="110"/>
      <c r="I30" s="12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207"/>
    </row>
    <row r="31" spans="1:23" ht="16.5" thickBot="1" x14ac:dyDescent="0.3">
      <c r="A31" s="85">
        <v>2</v>
      </c>
      <c r="B31" s="85">
        <v>1</v>
      </c>
      <c r="C31" s="92">
        <v>2</v>
      </c>
      <c r="D31" s="85"/>
      <c r="E31" s="85"/>
      <c r="F31" s="104" t="s">
        <v>26</v>
      </c>
      <c r="G31" s="112">
        <f t="shared" ref="G31:V31" si="10">G32</f>
        <v>2383080</v>
      </c>
      <c r="H31" s="113">
        <f t="shared" si="10"/>
        <v>0</v>
      </c>
      <c r="I31" s="14" t="e">
        <f t="shared" si="10"/>
        <v>#REF!</v>
      </c>
      <c r="J31" s="113">
        <f t="shared" si="10"/>
        <v>0</v>
      </c>
      <c r="K31" s="113">
        <f t="shared" si="10"/>
        <v>0</v>
      </c>
      <c r="L31" s="113">
        <f t="shared" si="10"/>
        <v>0</v>
      </c>
      <c r="M31" s="113">
        <f>M32</f>
        <v>0</v>
      </c>
      <c r="N31" s="113">
        <f t="shared" si="10"/>
        <v>0</v>
      </c>
      <c r="O31" s="113">
        <f t="shared" si="10"/>
        <v>0</v>
      </c>
      <c r="P31" s="113">
        <f>P32</f>
        <v>1065064.25</v>
      </c>
      <c r="Q31" s="113">
        <f>Q32</f>
        <v>874830</v>
      </c>
      <c r="R31" s="113">
        <f>R32</f>
        <v>93500</v>
      </c>
      <c r="S31" s="113">
        <f>S32</f>
        <v>145000</v>
      </c>
      <c r="T31" s="113">
        <f>T32</f>
        <v>1464830</v>
      </c>
      <c r="U31" s="113">
        <f t="shared" si="10"/>
        <v>3643224.25</v>
      </c>
      <c r="V31" s="204">
        <f t="shared" si="10"/>
        <v>-1260144.25</v>
      </c>
    </row>
    <row r="32" spans="1:23" ht="16.5" thickBot="1" x14ac:dyDescent="0.3">
      <c r="A32" s="85">
        <v>2</v>
      </c>
      <c r="B32" s="85">
        <v>1</v>
      </c>
      <c r="C32" s="85">
        <v>2</v>
      </c>
      <c r="D32" s="85">
        <v>2</v>
      </c>
      <c r="E32" s="85"/>
      <c r="F32" s="104" t="s">
        <v>27</v>
      </c>
      <c r="G32" s="95">
        <f>G33+G34+G36</f>
        <v>2383080</v>
      </c>
      <c r="H32" s="105">
        <f t="shared" ref="H32:N32" si="11">SUM(H33:H40)</f>
        <v>0</v>
      </c>
      <c r="I32" s="105" t="e">
        <f t="shared" si="11"/>
        <v>#REF!</v>
      </c>
      <c r="J32" s="105">
        <f t="shared" si="11"/>
        <v>0</v>
      </c>
      <c r="K32" s="105">
        <f t="shared" si="11"/>
        <v>0</v>
      </c>
      <c r="L32" s="105">
        <f t="shared" si="11"/>
        <v>0</v>
      </c>
      <c r="M32" s="105">
        <f t="shared" si="11"/>
        <v>0</v>
      </c>
      <c r="N32" s="105">
        <f t="shared" si="11"/>
        <v>0</v>
      </c>
      <c r="O32" s="105">
        <f t="shared" ref="O32:U32" si="12">SUM(O33:O40)</f>
        <v>0</v>
      </c>
      <c r="P32" s="105">
        <f t="shared" si="12"/>
        <v>1065064.25</v>
      </c>
      <c r="Q32" s="105">
        <f t="shared" si="12"/>
        <v>874830</v>
      </c>
      <c r="R32" s="105">
        <f t="shared" si="12"/>
        <v>93500</v>
      </c>
      <c r="S32" s="105">
        <f t="shared" si="12"/>
        <v>145000</v>
      </c>
      <c r="T32" s="105">
        <f t="shared" si="12"/>
        <v>1464830</v>
      </c>
      <c r="U32" s="105">
        <f t="shared" si="12"/>
        <v>3643224.25</v>
      </c>
      <c r="V32" s="259">
        <f>+V33+V34+V35+V36+V37+V38+V39+V40</f>
        <v>-1260144.25</v>
      </c>
    </row>
    <row r="33" spans="1:24" ht="31.5" x14ac:dyDescent="0.25">
      <c r="A33" s="85">
        <v>2</v>
      </c>
      <c r="B33" s="85">
        <v>1</v>
      </c>
      <c r="C33" s="85">
        <v>2</v>
      </c>
      <c r="D33" s="85">
        <v>2</v>
      </c>
      <c r="E33" s="85">
        <v>2</v>
      </c>
      <c r="F33" s="104" t="s">
        <v>28</v>
      </c>
      <c r="G33" s="114"/>
      <c r="H33" s="96">
        <v>0</v>
      </c>
      <c r="I33" s="6">
        <v>0</v>
      </c>
      <c r="J33" s="96">
        <v>0</v>
      </c>
      <c r="K33" s="96">
        <v>0</v>
      </c>
      <c r="L33" s="96"/>
      <c r="M33" s="96"/>
      <c r="N33" s="96"/>
      <c r="O33" s="96"/>
      <c r="P33" s="96"/>
      <c r="Q33" s="184"/>
      <c r="R33" s="184"/>
      <c r="S33" s="184"/>
      <c r="T33" s="184"/>
      <c r="U33" s="103">
        <f>+H33+J3+T333+K33+L33+M33+N33+O33+P33+Q33+R33+S33</f>
        <v>0</v>
      </c>
      <c r="V33" s="231">
        <f t="shared" ref="V33:V38" si="13">G33-U33</f>
        <v>0</v>
      </c>
    </row>
    <row r="34" spans="1:24" ht="15.75" x14ac:dyDescent="0.25">
      <c r="A34" s="85">
        <v>2</v>
      </c>
      <c r="B34" s="85">
        <v>1</v>
      </c>
      <c r="C34" s="85">
        <v>2</v>
      </c>
      <c r="D34" s="85">
        <v>2</v>
      </c>
      <c r="E34" s="85">
        <v>4</v>
      </c>
      <c r="F34" s="106" t="s">
        <v>29</v>
      </c>
      <c r="G34" s="108">
        <v>0</v>
      </c>
      <c r="H34" s="110">
        <v>0</v>
      </c>
      <c r="I34" s="110">
        <v>0</v>
      </c>
      <c r="J34" s="110">
        <v>0</v>
      </c>
      <c r="K34" s="110">
        <v>0</v>
      </c>
      <c r="L34" s="110"/>
      <c r="M34" s="110"/>
      <c r="N34" s="110"/>
      <c r="O34" s="110"/>
      <c r="P34" s="110"/>
      <c r="Q34" s="183"/>
      <c r="R34" s="183"/>
      <c r="S34" s="183"/>
      <c r="T34" s="183"/>
      <c r="U34" s="103">
        <f>+H34+J34+K34+L34+M34+N34+O34+P34+Q34+R34+S34+T34</f>
        <v>0</v>
      </c>
      <c r="V34" s="231">
        <f t="shared" si="13"/>
        <v>0</v>
      </c>
    </row>
    <row r="35" spans="1:24" ht="31.5" x14ac:dyDescent="0.25">
      <c r="A35" s="85">
        <v>2</v>
      </c>
      <c r="B35" s="85">
        <v>1</v>
      </c>
      <c r="C35" s="85">
        <v>2</v>
      </c>
      <c r="D35" s="85">
        <v>2</v>
      </c>
      <c r="E35" s="85">
        <v>10</v>
      </c>
      <c r="F35" s="106" t="s">
        <v>149</v>
      </c>
      <c r="G35" s="108"/>
      <c r="H35" s="110"/>
      <c r="I35" s="207"/>
      <c r="J35" s="110"/>
      <c r="K35" s="110"/>
      <c r="L35" s="110"/>
      <c r="M35" s="110"/>
      <c r="N35" s="110"/>
      <c r="O35" s="110"/>
      <c r="P35" s="110"/>
      <c r="Q35" s="183">
        <f>85065+110065+122117+73500+93500+80500+48920+73500+60885+75378+51400</f>
        <v>874830</v>
      </c>
      <c r="R35" s="183"/>
      <c r="S35" s="183"/>
      <c r="T35" s="183"/>
      <c r="U35" s="103">
        <f>+H35+J35+K35+L35+M35+N35+O35+P35+Q35+R35+S35+T35</f>
        <v>874830</v>
      </c>
      <c r="V35" s="231">
        <f>G35-U35</f>
        <v>-874830</v>
      </c>
    </row>
    <row r="36" spans="1:24" ht="31.5" x14ac:dyDescent="0.25">
      <c r="A36" s="85">
        <v>2</v>
      </c>
      <c r="B36" s="85">
        <v>1</v>
      </c>
      <c r="C36" s="85">
        <v>2</v>
      </c>
      <c r="D36" s="85">
        <v>2</v>
      </c>
      <c r="E36" s="85">
        <v>15</v>
      </c>
      <c r="F36" s="106" t="s">
        <v>30</v>
      </c>
      <c r="G36" s="108">
        <v>2383080</v>
      </c>
      <c r="H36" s="110"/>
      <c r="I36" s="12" t="e">
        <f>+G36-#REF!</f>
        <v>#REF!</v>
      </c>
      <c r="J36" s="110"/>
      <c r="K36" s="110"/>
      <c r="L36" s="110"/>
      <c r="M36" s="110"/>
      <c r="N36" s="110"/>
      <c r="O36" s="110"/>
      <c r="P36" s="110"/>
      <c r="Q36" s="183"/>
      <c r="R36" s="183"/>
      <c r="S36" s="183"/>
      <c r="T36" s="103">
        <f>51400+75378+60885+73500+48920+80500+93500+73500+122117+110065+85065+65000+300000+225000</f>
        <v>1464830</v>
      </c>
      <c r="U36" s="103">
        <f t="shared" ref="U36:U40" si="14">+H36+J36+K36+L36+M36+N36+O36+P36+Q36+R36+S36+T36</f>
        <v>1464830</v>
      </c>
      <c r="V36" s="231">
        <f>G36-U36</f>
        <v>918250</v>
      </c>
      <c r="W36" s="261"/>
    </row>
    <row r="37" spans="1:24" ht="15.75" x14ac:dyDescent="0.25">
      <c r="A37" s="85"/>
      <c r="B37" s="85"/>
      <c r="C37" s="92"/>
      <c r="D37" s="85"/>
      <c r="E37" s="85"/>
      <c r="F37" s="106"/>
      <c r="G37" s="108"/>
      <c r="H37" s="110"/>
      <c r="I37" s="12"/>
      <c r="J37" s="110"/>
      <c r="K37" s="110"/>
      <c r="L37" s="110"/>
      <c r="M37" s="110"/>
      <c r="N37" s="110"/>
      <c r="O37" s="110"/>
      <c r="P37" s="110"/>
      <c r="Q37" s="183"/>
      <c r="R37" s="183"/>
      <c r="S37" s="183"/>
      <c r="T37" s="183"/>
      <c r="U37" s="103">
        <f t="shared" si="14"/>
        <v>0</v>
      </c>
      <c r="V37" s="231">
        <f t="shared" si="13"/>
        <v>0</v>
      </c>
    </row>
    <row r="38" spans="1:24" ht="31.5" x14ac:dyDescent="0.25">
      <c r="A38" s="85">
        <v>2</v>
      </c>
      <c r="B38" s="85">
        <v>1</v>
      </c>
      <c r="C38" s="92">
        <v>3</v>
      </c>
      <c r="D38" s="85">
        <v>7</v>
      </c>
      <c r="E38" s="85"/>
      <c r="F38" s="104" t="s">
        <v>146</v>
      </c>
      <c r="G38" s="108"/>
      <c r="H38" s="110"/>
      <c r="I38" s="12"/>
      <c r="J38" s="110"/>
      <c r="K38" s="110"/>
      <c r="L38" s="110"/>
      <c r="M38" s="110"/>
      <c r="N38" s="110"/>
      <c r="O38" s="110"/>
      <c r="P38" s="110"/>
      <c r="Q38" s="183"/>
      <c r="R38" s="183"/>
      <c r="S38" s="183"/>
      <c r="T38" s="183"/>
      <c r="U38" s="103">
        <f t="shared" si="14"/>
        <v>0</v>
      </c>
      <c r="V38" s="231">
        <f t="shared" si="13"/>
        <v>0</v>
      </c>
      <c r="W38" s="261"/>
    </row>
    <row r="39" spans="1:24" ht="15.75" x14ac:dyDescent="0.25">
      <c r="A39" s="85">
        <v>2</v>
      </c>
      <c r="B39" s="85">
        <v>1</v>
      </c>
      <c r="C39" s="92">
        <v>3</v>
      </c>
      <c r="D39" s="85">
        <v>7</v>
      </c>
      <c r="E39" s="85">
        <v>2</v>
      </c>
      <c r="F39" s="106" t="s">
        <v>147</v>
      </c>
      <c r="G39" s="108"/>
      <c r="H39" s="110"/>
      <c r="I39" s="12"/>
      <c r="J39" s="110"/>
      <c r="K39" s="110"/>
      <c r="L39" s="110"/>
      <c r="M39" s="110"/>
      <c r="N39" s="110"/>
      <c r="O39" s="110"/>
      <c r="P39" s="110">
        <f>20000+20000+20000+20000+10000+10000+20000</f>
        <v>120000</v>
      </c>
      <c r="Q39" s="183"/>
      <c r="R39" s="183"/>
      <c r="S39" s="183"/>
      <c r="T39" s="183"/>
      <c r="U39" s="103">
        <f t="shared" si="14"/>
        <v>120000</v>
      </c>
      <c r="V39" s="231">
        <f>G39-U39</f>
        <v>-120000</v>
      </c>
    </row>
    <row r="40" spans="1:24" ht="15.75" x14ac:dyDescent="0.25">
      <c r="A40" s="85">
        <v>2</v>
      </c>
      <c r="B40" s="85">
        <v>1</v>
      </c>
      <c r="C40" s="92">
        <v>3</v>
      </c>
      <c r="D40" s="85">
        <v>7</v>
      </c>
      <c r="E40" s="85">
        <v>4</v>
      </c>
      <c r="F40" s="106" t="s">
        <v>148</v>
      </c>
      <c r="G40" s="108"/>
      <c r="H40" s="110"/>
      <c r="I40" s="12"/>
      <c r="J40" s="110"/>
      <c r="K40" s="110"/>
      <c r="L40" s="110"/>
      <c r="M40" s="110"/>
      <c r="N40" s="110"/>
      <c r="O40" s="110"/>
      <c r="P40" s="110">
        <f>225000+85065+110065+122117+73500+80500+48920+73500+45663.75+55033.5+25700</f>
        <v>945064.25</v>
      </c>
      <c r="Q40" s="183"/>
      <c r="R40" s="183">
        <v>93500</v>
      </c>
      <c r="S40" s="183">
        <f>32500+112500</f>
        <v>145000</v>
      </c>
      <c r="T40" s="183"/>
      <c r="U40" s="103">
        <f t="shared" si="14"/>
        <v>1183564.25</v>
      </c>
      <c r="V40" s="231">
        <f>G40-U40</f>
        <v>-1183564.25</v>
      </c>
      <c r="X40" s="261"/>
    </row>
    <row r="41" spans="1:24" ht="15.75" x14ac:dyDescent="0.25">
      <c r="A41" s="85"/>
      <c r="B41" s="85"/>
      <c r="C41" s="92"/>
      <c r="D41" s="85"/>
      <c r="E41" s="85"/>
      <c r="F41" s="106"/>
      <c r="G41" s="108"/>
      <c r="H41" s="110"/>
      <c r="I41" s="12"/>
      <c r="J41" s="110"/>
      <c r="K41" s="110"/>
      <c r="L41" s="110"/>
      <c r="M41" s="110"/>
      <c r="N41" s="110"/>
      <c r="O41" s="110"/>
      <c r="P41" s="110"/>
      <c r="Q41" s="183"/>
      <c r="R41" s="183"/>
      <c r="S41" s="183"/>
      <c r="T41" s="183"/>
      <c r="U41" s="103">
        <f>+H41+J41+K41+L41+M41+N41+O41+P41+Q41+R41+S41</f>
        <v>0</v>
      </c>
      <c r="V41" s="231"/>
    </row>
    <row r="42" spans="1:24" ht="32.25" thickBot="1" x14ac:dyDescent="0.3">
      <c r="A42" s="85">
        <v>2</v>
      </c>
      <c r="B42" s="85">
        <v>1</v>
      </c>
      <c r="C42" s="92">
        <v>3</v>
      </c>
      <c r="D42" s="85"/>
      <c r="E42" s="85"/>
      <c r="F42" s="104" t="s">
        <v>31</v>
      </c>
      <c r="G42" s="108"/>
      <c r="H42" s="110"/>
      <c r="I42" s="12"/>
      <c r="J42" s="110"/>
      <c r="K42" s="110"/>
      <c r="L42" s="110"/>
      <c r="M42" s="110"/>
      <c r="N42" s="110"/>
      <c r="O42" s="110"/>
      <c r="P42" s="110"/>
      <c r="Q42" s="183"/>
      <c r="R42" s="183"/>
      <c r="S42" s="183"/>
      <c r="T42" s="183"/>
      <c r="U42" s="110"/>
      <c r="V42" s="232"/>
    </row>
    <row r="43" spans="1:24" ht="16.5" thickBot="1" x14ac:dyDescent="0.3">
      <c r="A43" s="85">
        <v>2</v>
      </c>
      <c r="B43" s="85">
        <v>1</v>
      </c>
      <c r="C43" s="92">
        <v>3</v>
      </c>
      <c r="D43" s="85">
        <v>1</v>
      </c>
      <c r="E43" s="93"/>
      <c r="F43" s="104" t="s">
        <v>32</v>
      </c>
      <c r="G43" s="97">
        <f t="shared" ref="G43:U43" si="15">G44+G45</f>
        <v>0</v>
      </c>
      <c r="H43" s="98">
        <f t="shared" si="15"/>
        <v>0</v>
      </c>
      <c r="I43" s="16">
        <f t="shared" si="15"/>
        <v>0</v>
      </c>
      <c r="J43" s="98">
        <f t="shared" si="15"/>
        <v>0</v>
      </c>
      <c r="K43" s="98">
        <f t="shared" si="15"/>
        <v>0</v>
      </c>
      <c r="L43" s="98">
        <f t="shared" si="15"/>
        <v>0</v>
      </c>
      <c r="M43" s="98">
        <f t="shared" si="15"/>
        <v>0</v>
      </c>
      <c r="N43" s="98">
        <f t="shared" si="15"/>
        <v>0</v>
      </c>
      <c r="O43" s="98"/>
      <c r="P43" s="98"/>
      <c r="Q43" s="98"/>
      <c r="R43" s="98"/>
      <c r="S43" s="98"/>
      <c r="T43" s="98"/>
      <c r="U43" s="98">
        <f t="shared" si="15"/>
        <v>0</v>
      </c>
      <c r="V43" s="211">
        <f>V44+V45</f>
        <v>0</v>
      </c>
    </row>
    <row r="44" spans="1:24" ht="15.75" x14ac:dyDescent="0.25">
      <c r="A44" s="85">
        <v>2</v>
      </c>
      <c r="B44" s="85">
        <v>1</v>
      </c>
      <c r="C44" s="92">
        <v>3</v>
      </c>
      <c r="D44" s="85">
        <v>1</v>
      </c>
      <c r="E44" s="85">
        <v>1</v>
      </c>
      <c r="F44" s="106" t="s">
        <v>33</v>
      </c>
      <c r="G44" s="107"/>
      <c r="H44" s="110">
        <f t="shared" ref="H44:K45" si="16">G44*12</f>
        <v>0</v>
      </c>
      <c r="I44" s="110">
        <f t="shared" si="16"/>
        <v>0</v>
      </c>
      <c r="J44" s="110">
        <f t="shared" si="16"/>
        <v>0</v>
      </c>
      <c r="K44" s="110">
        <f t="shared" si="16"/>
        <v>0</v>
      </c>
      <c r="L44" s="110"/>
      <c r="M44" s="110"/>
      <c r="N44" s="110"/>
      <c r="O44" s="110"/>
      <c r="P44" s="110"/>
      <c r="Q44" s="110"/>
      <c r="R44" s="110"/>
      <c r="S44" s="110"/>
      <c r="T44" s="110"/>
      <c r="U44" s="182">
        <f>+H44+J44+K44+L44+M44+N44+O44+P44+Q44+R44+S44+T44</f>
        <v>0</v>
      </c>
      <c r="V44" s="231">
        <f>G44-U44</f>
        <v>0</v>
      </c>
    </row>
    <row r="45" spans="1:24" ht="15.75" x14ac:dyDescent="0.25">
      <c r="A45" s="85">
        <v>2</v>
      </c>
      <c r="B45" s="85">
        <v>1</v>
      </c>
      <c r="C45" s="92">
        <v>3</v>
      </c>
      <c r="D45" s="85">
        <v>1</v>
      </c>
      <c r="E45" s="85">
        <v>2</v>
      </c>
      <c r="F45" s="106" t="s">
        <v>34</v>
      </c>
      <c r="G45" s="108"/>
      <c r="H45" s="110">
        <f t="shared" si="16"/>
        <v>0</v>
      </c>
      <c r="I45" s="110">
        <f t="shared" si="16"/>
        <v>0</v>
      </c>
      <c r="J45" s="110">
        <f t="shared" si="16"/>
        <v>0</v>
      </c>
      <c r="K45" s="110">
        <f t="shared" si="16"/>
        <v>0</v>
      </c>
      <c r="L45" s="110"/>
      <c r="M45" s="110"/>
      <c r="N45" s="110"/>
      <c r="O45" s="110"/>
      <c r="P45" s="110"/>
      <c r="Q45" s="110"/>
      <c r="R45" s="110"/>
      <c r="S45" s="110"/>
      <c r="T45" s="110"/>
      <c r="U45" s="103">
        <f>+H45+J45+K45+L45+M45+N45+O45+P45+Q45+R45+S45+T45</f>
        <v>0</v>
      </c>
      <c r="V45" s="231">
        <f>G45-U45</f>
        <v>0</v>
      </c>
    </row>
    <row r="46" spans="1:24" s="17" customFormat="1" ht="15.75" x14ac:dyDescent="0.25">
      <c r="A46" s="85"/>
      <c r="B46" s="85"/>
      <c r="C46" s="92"/>
      <c r="D46" s="85"/>
      <c r="E46" s="85"/>
      <c r="F46" s="106"/>
      <c r="G46" s="108"/>
      <c r="H46" s="110"/>
      <c r="I46" s="12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207"/>
    </row>
    <row r="47" spans="1:24" ht="48" thickBot="1" x14ac:dyDescent="0.3">
      <c r="A47" s="85">
        <v>2</v>
      </c>
      <c r="B47" s="115">
        <v>1</v>
      </c>
      <c r="C47" s="116">
        <v>5</v>
      </c>
      <c r="D47" s="93"/>
      <c r="E47" s="93"/>
      <c r="F47" s="104" t="s">
        <v>35</v>
      </c>
      <c r="G47" s="95">
        <f>SUM(G48:G50)</f>
        <v>2811673</v>
      </c>
      <c r="H47" s="96">
        <f>SUM(H48:H50)</f>
        <v>206315.72999999998</v>
      </c>
      <c r="I47" s="6" t="e">
        <f>SUM(I48:I50)</f>
        <v>#REF!</v>
      </c>
      <c r="J47" s="96">
        <f>SUM(J48:J50)</f>
        <v>208973.74</v>
      </c>
      <c r="K47" s="96">
        <f>SUM(K48:K50)</f>
        <v>208973.74</v>
      </c>
      <c r="L47" s="96">
        <f t="shared" ref="L47:U47" si="17">SUM(L48:L50)</f>
        <v>202912.02100000001</v>
      </c>
      <c r="M47" s="96">
        <f t="shared" si="17"/>
        <v>208973.74</v>
      </c>
      <c r="N47" s="105">
        <f t="shared" si="17"/>
        <v>208973.74</v>
      </c>
      <c r="O47" s="105">
        <f t="shared" si="17"/>
        <v>208973.74</v>
      </c>
      <c r="P47" s="105">
        <f t="shared" si="17"/>
        <v>208973.74</v>
      </c>
      <c r="Q47" s="105">
        <f t="shared" si="17"/>
        <v>208973.74</v>
      </c>
      <c r="R47" s="105">
        <f t="shared" si="17"/>
        <v>216135.37</v>
      </c>
      <c r="S47" s="105">
        <f t="shared" si="17"/>
        <v>219065.13999999998</v>
      </c>
      <c r="T47" s="105">
        <f t="shared" si="17"/>
        <v>219065.13999999998</v>
      </c>
      <c r="U47" s="118">
        <f t="shared" si="17"/>
        <v>2526309.5810000002</v>
      </c>
      <c r="V47" s="202">
        <f>SUM(V48:V50)</f>
        <v>285363.41900000023</v>
      </c>
    </row>
    <row r="48" spans="1:24" ht="31.5" x14ac:dyDescent="0.25">
      <c r="A48" s="85">
        <v>2</v>
      </c>
      <c r="B48" s="85">
        <v>1</v>
      </c>
      <c r="C48" s="92">
        <v>5</v>
      </c>
      <c r="D48" s="85">
        <v>1</v>
      </c>
      <c r="E48" s="85"/>
      <c r="F48" s="99" t="s">
        <v>36</v>
      </c>
      <c r="G48" s="107">
        <v>1272777</v>
      </c>
      <c r="H48" s="109">
        <v>92444.4</v>
      </c>
      <c r="I48" s="13" t="e">
        <f>+G48-#REF!</f>
        <v>#REF!</v>
      </c>
      <c r="J48" s="109">
        <v>94075.8</v>
      </c>
      <c r="K48" s="109">
        <v>94075.8</v>
      </c>
      <c r="L48" s="109">
        <f>94075.801-6061.72</f>
        <v>88014.081000000006</v>
      </c>
      <c r="M48" s="109">
        <v>94075.8</v>
      </c>
      <c r="N48" s="110">
        <v>94075.8</v>
      </c>
      <c r="O48" s="110">
        <v>94075.8</v>
      </c>
      <c r="P48" s="110">
        <v>94075.8</v>
      </c>
      <c r="Q48" s="110">
        <v>94075.8</v>
      </c>
      <c r="R48" s="110">
        <v>97396.66</v>
      </c>
      <c r="S48" s="110">
        <v>98755.199999999997</v>
      </c>
      <c r="T48" s="110">
        <v>98755.199999999997</v>
      </c>
      <c r="U48" s="103">
        <f>+H48+J48+K48+L48+M48+N48+O48+P48+Q48+R48+S48+T48</f>
        <v>1133896.1410000001</v>
      </c>
      <c r="V48" s="208">
        <f>+G48-U48</f>
        <v>138880.85899999994</v>
      </c>
    </row>
    <row r="49" spans="1:23" ht="31.5" x14ac:dyDescent="0.25">
      <c r="A49" s="85">
        <v>2</v>
      </c>
      <c r="B49" s="85">
        <v>1</v>
      </c>
      <c r="C49" s="92">
        <v>5</v>
      </c>
      <c r="D49" s="85">
        <v>2</v>
      </c>
      <c r="E49" s="85"/>
      <c r="F49" s="99" t="s">
        <v>37</v>
      </c>
      <c r="G49" s="108">
        <v>1391511</v>
      </c>
      <c r="H49" s="110">
        <v>103292.95</v>
      </c>
      <c r="I49" s="12" t="e">
        <f>+G49-#REF!</f>
        <v>#REF!</v>
      </c>
      <c r="J49" s="110">
        <v>104002.95</v>
      </c>
      <c r="K49" s="110">
        <v>104002.95</v>
      </c>
      <c r="L49" s="110">
        <v>104002.95</v>
      </c>
      <c r="M49" s="110">
        <v>104002.95</v>
      </c>
      <c r="N49" s="110">
        <v>104002.95</v>
      </c>
      <c r="O49" s="110">
        <v>104002.95</v>
      </c>
      <c r="P49" s="110">
        <v>104002.95</v>
      </c>
      <c r="Q49" s="110">
        <v>104002.95</v>
      </c>
      <c r="R49" s="110">
        <v>107328.5</v>
      </c>
      <c r="S49" s="110">
        <v>108688.95</v>
      </c>
      <c r="T49" s="110">
        <v>108688.95</v>
      </c>
      <c r="U49" s="103">
        <f t="shared" ref="U49:U50" si="18">+H49+J49+K49+L49+M49+N49+O49+P49+Q49+R49+S49+T49</f>
        <v>1260022.9499999997</v>
      </c>
      <c r="V49" s="207">
        <f>+G49-U49</f>
        <v>131488.05000000028</v>
      </c>
    </row>
    <row r="50" spans="1:23" ht="31.5" x14ac:dyDescent="0.25">
      <c r="A50" s="85">
        <v>2</v>
      </c>
      <c r="B50" s="85">
        <v>1</v>
      </c>
      <c r="C50" s="92">
        <v>5</v>
      </c>
      <c r="D50" s="85">
        <v>3</v>
      </c>
      <c r="E50" s="85"/>
      <c r="F50" s="106" t="s">
        <v>38</v>
      </c>
      <c r="G50" s="108">
        <v>147385</v>
      </c>
      <c r="H50" s="110">
        <v>10578.38</v>
      </c>
      <c r="I50" s="12" t="e">
        <f>+G50-#REF!</f>
        <v>#REF!</v>
      </c>
      <c r="J50" s="110">
        <v>10894.99</v>
      </c>
      <c r="K50" s="110">
        <v>10894.99</v>
      </c>
      <c r="L50" s="110">
        <v>10894.99</v>
      </c>
      <c r="M50" s="110">
        <v>10894.99</v>
      </c>
      <c r="N50" s="110">
        <v>10894.99</v>
      </c>
      <c r="O50" s="110">
        <v>10894.99</v>
      </c>
      <c r="P50" s="110">
        <v>10894.99</v>
      </c>
      <c r="Q50" s="110">
        <v>10894.99</v>
      </c>
      <c r="R50" s="110">
        <v>11410.21</v>
      </c>
      <c r="S50" s="110">
        <v>11620.99</v>
      </c>
      <c r="T50" s="110">
        <v>11620.99</v>
      </c>
      <c r="U50" s="103">
        <f t="shared" si="18"/>
        <v>132390.49000000002</v>
      </c>
      <c r="V50" s="207">
        <f>+G50-U50</f>
        <v>14994.50999999998</v>
      </c>
    </row>
    <row r="51" spans="1:23" ht="15.75" x14ac:dyDescent="0.25">
      <c r="A51" s="85"/>
      <c r="B51" s="85"/>
      <c r="C51" s="92"/>
      <c r="D51" s="85"/>
      <c r="E51" s="85"/>
      <c r="F51" s="106"/>
      <c r="G51" s="108"/>
      <c r="H51" s="110"/>
      <c r="I51" s="12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207"/>
    </row>
    <row r="52" spans="1:23" ht="32.25" thickBot="1" x14ac:dyDescent="0.3">
      <c r="A52" s="85">
        <v>2</v>
      </c>
      <c r="B52" s="85">
        <v>2</v>
      </c>
      <c r="C52" s="92"/>
      <c r="D52" s="85"/>
      <c r="E52" s="93"/>
      <c r="F52" s="94" t="s">
        <v>39</v>
      </c>
      <c r="G52" s="95">
        <f t="shared" ref="G52:V52" si="19">G53+G61+G65+G69+G73+G85+G93+G81+G109</f>
        <v>26111226</v>
      </c>
      <c r="H52" s="105">
        <f t="shared" si="19"/>
        <v>1340446.24</v>
      </c>
      <c r="I52" s="10" t="e">
        <f t="shared" si="19"/>
        <v>#REF!</v>
      </c>
      <c r="J52" s="105">
        <f t="shared" si="19"/>
        <v>1520971.4000000001</v>
      </c>
      <c r="K52" s="105">
        <f t="shared" si="19"/>
        <v>1562030.84</v>
      </c>
      <c r="L52" s="105">
        <f t="shared" si="19"/>
        <v>2163287.7000000002</v>
      </c>
      <c r="M52" s="105">
        <f t="shared" si="19"/>
        <v>1933250.05</v>
      </c>
      <c r="N52" s="105">
        <f t="shared" si="19"/>
        <v>1878724.8000000003</v>
      </c>
      <c r="O52" s="105">
        <f t="shared" si="19"/>
        <v>1885963.28</v>
      </c>
      <c r="P52" s="105">
        <f t="shared" si="19"/>
        <v>1593881.03</v>
      </c>
      <c r="Q52" s="105">
        <f t="shared" si="19"/>
        <v>1682446.8999999997</v>
      </c>
      <c r="R52" s="105">
        <f t="shared" si="19"/>
        <v>2148202.06</v>
      </c>
      <c r="S52" s="105">
        <f t="shared" si="19"/>
        <v>2361907.8699999996</v>
      </c>
      <c r="T52" s="105">
        <f t="shared" si="19"/>
        <v>1812402.51</v>
      </c>
      <c r="U52" s="105">
        <f>U53+U61+U65+U69+U73+U85+U93+U81+U109</f>
        <v>21883514.68</v>
      </c>
      <c r="V52" s="206">
        <f t="shared" si="19"/>
        <v>4227711.3199999994</v>
      </c>
    </row>
    <row r="53" spans="1:23" ht="16.5" thickBot="1" x14ac:dyDescent="0.3">
      <c r="A53" s="85">
        <v>2</v>
      </c>
      <c r="B53" s="85">
        <v>2</v>
      </c>
      <c r="C53" s="92">
        <v>1</v>
      </c>
      <c r="D53" s="85"/>
      <c r="E53" s="93"/>
      <c r="F53" s="94" t="s">
        <v>40</v>
      </c>
      <c r="G53" s="112">
        <f t="shared" ref="G53:T53" si="20">G54+G55+G56+G58</f>
        <v>1354093</v>
      </c>
      <c r="H53" s="96">
        <f t="shared" si="20"/>
        <v>122900.01999999999</v>
      </c>
      <c r="I53" s="6" t="e">
        <f t="shared" si="20"/>
        <v>#REF!</v>
      </c>
      <c r="J53" s="96">
        <f t="shared" si="20"/>
        <v>121985.62</v>
      </c>
      <c r="K53" s="96">
        <f t="shared" si="20"/>
        <v>120045.4</v>
      </c>
      <c r="L53" s="96">
        <f t="shared" si="20"/>
        <v>164988.94</v>
      </c>
      <c r="M53" s="96">
        <f t="shared" si="20"/>
        <v>121623.14</v>
      </c>
      <c r="N53" s="113">
        <f t="shared" si="20"/>
        <v>137949.64000000001</v>
      </c>
      <c r="O53" s="113">
        <f t="shared" si="20"/>
        <v>132119.09999999998</v>
      </c>
      <c r="P53" s="113">
        <f t="shared" si="20"/>
        <v>145715.07</v>
      </c>
      <c r="Q53" s="113">
        <f t="shared" si="20"/>
        <v>141026.22</v>
      </c>
      <c r="R53" s="113">
        <f t="shared" si="20"/>
        <v>147180.57</v>
      </c>
      <c r="S53" s="113">
        <f t="shared" si="20"/>
        <v>172588.75</v>
      </c>
      <c r="T53" s="113">
        <f t="shared" si="20"/>
        <v>144079.21000000002</v>
      </c>
      <c r="U53" s="113">
        <f>U54+U55+U56+U58</f>
        <v>1672201.6800000002</v>
      </c>
      <c r="V53" s="210">
        <f>+G53-U53</f>
        <v>-318108.68000000017</v>
      </c>
    </row>
    <row r="54" spans="1:23" ht="15.75" x14ac:dyDescent="0.25">
      <c r="A54" s="85">
        <v>2</v>
      </c>
      <c r="B54" s="85">
        <v>2</v>
      </c>
      <c r="C54" s="92">
        <v>1</v>
      </c>
      <c r="D54" s="85">
        <v>3</v>
      </c>
      <c r="E54" s="85"/>
      <c r="F54" s="99" t="s">
        <v>41</v>
      </c>
      <c r="G54" s="107">
        <v>336000</v>
      </c>
      <c r="H54" s="109">
        <f>47963.82+22207.42+2155</f>
        <v>72326.239999999991</v>
      </c>
      <c r="I54" s="13" t="e">
        <f>+G54-#REF!</f>
        <v>#REF!</v>
      </c>
      <c r="J54" s="109">
        <f>8785.14+2212.21+22518.17+31889</f>
        <v>65404.52</v>
      </c>
      <c r="K54" s="109">
        <f>31889+22264.93+2041</f>
        <v>56194.93</v>
      </c>
      <c r="L54" s="109">
        <f>22125.78+42779+2041</f>
        <v>66945.78</v>
      </c>
      <c r="M54" s="109">
        <f>31893.55+22075.97+2041</f>
        <v>56010.520000000004</v>
      </c>
      <c r="N54" s="110">
        <f>21949.11+31889+2041+18886.02</f>
        <v>74765.13</v>
      </c>
      <c r="O54" s="110">
        <f>7793.5+2041+22381.37+31889</f>
        <v>64104.869999999995</v>
      </c>
      <c r="P54" s="110">
        <f>41007.81+22791.57+2041+8353.6</f>
        <v>74193.98000000001</v>
      </c>
      <c r="Q54" s="110">
        <f>37151.44+22707.55+2041+7793.5</f>
        <v>69693.490000000005</v>
      </c>
      <c r="R54" s="110">
        <f>14160+2041+7793.5+22813.46+31889</f>
        <v>78696.959999999992</v>
      </c>
      <c r="S54" s="110">
        <f>37371.96+22842.17+38196.91+2041</f>
        <v>100452.04000000001</v>
      </c>
      <c r="T54" s="110">
        <f>22768.01+22224.9+2041+35425.91</f>
        <v>82459.820000000007</v>
      </c>
      <c r="U54" s="103">
        <f>+H54+J54+K54+L54+M54+N54+O54+P54+Q54+R54+S54+T54</f>
        <v>861248.28</v>
      </c>
      <c r="V54" s="207">
        <f>+G54-U54</f>
        <v>-525248.28</v>
      </c>
      <c r="W54" s="261"/>
    </row>
    <row r="55" spans="1:23" ht="15.75" x14ac:dyDescent="0.25">
      <c r="A55" s="85">
        <v>2</v>
      </c>
      <c r="B55" s="85">
        <v>2</v>
      </c>
      <c r="C55" s="92">
        <v>1</v>
      </c>
      <c r="D55" s="85">
        <v>4</v>
      </c>
      <c r="E55" s="85"/>
      <c r="F55" s="99" t="s">
        <v>42</v>
      </c>
      <c r="G55" s="108"/>
      <c r="H55" s="110"/>
      <c r="I55" s="12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03">
        <f>+H55+J55+K55+L55+M55+N55+O55+P55+Q55+R55+S55+T55</f>
        <v>0</v>
      </c>
      <c r="V55" s="207">
        <f>+G55-U55</f>
        <v>0</v>
      </c>
    </row>
    <row r="56" spans="1:23" ht="31.5" x14ac:dyDescent="0.25">
      <c r="A56" s="85">
        <v>2</v>
      </c>
      <c r="B56" s="85">
        <v>2</v>
      </c>
      <c r="C56" s="92">
        <v>1</v>
      </c>
      <c r="D56" s="85">
        <v>5</v>
      </c>
      <c r="E56" s="85"/>
      <c r="F56" s="99" t="s">
        <v>43</v>
      </c>
      <c r="G56" s="108">
        <v>346093</v>
      </c>
      <c r="H56" s="110"/>
      <c r="I56" s="12" t="e">
        <f>+G56-#REF!</f>
        <v>#REF!</v>
      </c>
      <c r="J56" s="110"/>
      <c r="K56" s="110">
        <v>9289.85</v>
      </c>
      <c r="L56" s="110">
        <v>40068.33</v>
      </c>
      <c r="M56" s="110"/>
      <c r="N56" s="110"/>
      <c r="O56" s="110"/>
      <c r="P56" s="110"/>
      <c r="Q56" s="110"/>
      <c r="R56" s="110"/>
      <c r="S56" s="110"/>
      <c r="T56" s="110"/>
      <c r="U56" s="103">
        <f>+H56+J56+K56+L56+M56+N56+O56+P56+Q56+R56+S56+T56</f>
        <v>49358.18</v>
      </c>
      <c r="V56" s="207">
        <f>+G56-U56</f>
        <v>296734.82</v>
      </c>
    </row>
    <row r="57" spans="1:23" ht="15.75" x14ac:dyDescent="0.25">
      <c r="A57" s="85"/>
      <c r="B57" s="85"/>
      <c r="C57" s="92"/>
      <c r="D57" s="85"/>
      <c r="E57" s="85"/>
      <c r="F57" s="99"/>
      <c r="G57" s="108"/>
      <c r="H57" s="110"/>
      <c r="I57" s="12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207"/>
    </row>
    <row r="58" spans="1:23" ht="16.5" thickBot="1" x14ac:dyDescent="0.3">
      <c r="A58" s="85">
        <v>2</v>
      </c>
      <c r="B58" s="85">
        <v>2</v>
      </c>
      <c r="C58" s="92">
        <v>1</v>
      </c>
      <c r="D58" s="85">
        <v>6</v>
      </c>
      <c r="E58" s="85"/>
      <c r="F58" s="104" t="s">
        <v>44</v>
      </c>
      <c r="G58" s="95">
        <f t="shared" ref="G58:V58" si="21">G59</f>
        <v>672000</v>
      </c>
      <c r="H58" s="117">
        <f t="shared" si="21"/>
        <v>50573.78</v>
      </c>
      <c r="I58" s="19" t="e">
        <f t="shared" si="21"/>
        <v>#REF!</v>
      </c>
      <c r="J58" s="117">
        <f t="shared" si="21"/>
        <v>56581.1</v>
      </c>
      <c r="K58" s="117">
        <f t="shared" si="21"/>
        <v>54560.62</v>
      </c>
      <c r="L58" s="117">
        <f t="shared" si="21"/>
        <v>57974.83</v>
      </c>
      <c r="M58" s="117">
        <f t="shared" si="21"/>
        <v>65612.62</v>
      </c>
      <c r="N58" s="117">
        <f t="shared" si="21"/>
        <v>63184.51</v>
      </c>
      <c r="O58" s="117">
        <f t="shared" si="21"/>
        <v>68014.23</v>
      </c>
      <c r="P58" s="117">
        <f t="shared" si="21"/>
        <v>71521.09</v>
      </c>
      <c r="Q58" s="117">
        <f t="shared" si="21"/>
        <v>71332.73</v>
      </c>
      <c r="R58" s="117">
        <f t="shared" si="21"/>
        <v>68483.61</v>
      </c>
      <c r="S58" s="117">
        <f t="shared" si="21"/>
        <v>72136.710000000006</v>
      </c>
      <c r="T58" s="117">
        <f t="shared" si="21"/>
        <v>61619.39</v>
      </c>
      <c r="U58" s="117">
        <f t="shared" si="21"/>
        <v>761595.22</v>
      </c>
      <c r="V58" s="211">
        <f t="shared" si="21"/>
        <v>-89595.219999999972</v>
      </c>
    </row>
    <row r="59" spans="1:23" ht="15.75" x14ac:dyDescent="0.25">
      <c r="A59" s="85">
        <v>2</v>
      </c>
      <c r="B59" s="85">
        <v>2</v>
      </c>
      <c r="C59" s="92">
        <v>1</v>
      </c>
      <c r="D59" s="85">
        <v>6</v>
      </c>
      <c r="E59" s="85">
        <v>1</v>
      </c>
      <c r="F59" s="99" t="s">
        <v>45</v>
      </c>
      <c r="G59" s="107">
        <v>672000</v>
      </c>
      <c r="H59" s="110">
        <v>50573.78</v>
      </c>
      <c r="I59" s="13" t="e">
        <f>+G59-#REF!</f>
        <v>#REF!</v>
      </c>
      <c r="J59" s="110">
        <v>56581.1</v>
      </c>
      <c r="K59" s="110">
        <v>54560.62</v>
      </c>
      <c r="L59" s="110">
        <v>57974.83</v>
      </c>
      <c r="M59" s="110">
        <v>65612.62</v>
      </c>
      <c r="N59" s="109">
        <v>63184.51</v>
      </c>
      <c r="O59" s="109">
        <v>68014.23</v>
      </c>
      <c r="P59" s="109">
        <v>71521.09</v>
      </c>
      <c r="Q59" s="109">
        <v>71332.73</v>
      </c>
      <c r="R59" s="109">
        <v>68483.61</v>
      </c>
      <c r="S59" s="109">
        <v>72136.710000000006</v>
      </c>
      <c r="T59" s="109">
        <v>61619.39</v>
      </c>
      <c r="U59" s="182">
        <f>+H59+J59+K59+L59+M59+N59+O59+P59+Q59+R59+S59+T59</f>
        <v>761595.22</v>
      </c>
      <c r="V59" s="208">
        <f>+G59-U59</f>
        <v>-89595.219999999972</v>
      </c>
    </row>
    <row r="60" spans="1:23" ht="15.75" x14ac:dyDescent="0.25">
      <c r="A60" s="85"/>
      <c r="B60" s="85"/>
      <c r="C60" s="92"/>
      <c r="D60" s="85"/>
      <c r="E60" s="85"/>
      <c r="F60" s="99"/>
      <c r="G60" s="108"/>
      <c r="H60" s="110"/>
      <c r="I60" s="12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207"/>
    </row>
    <row r="61" spans="1:23" ht="32.25" thickBot="1" x14ac:dyDescent="0.3">
      <c r="A61" s="85">
        <v>2</v>
      </c>
      <c r="B61" s="85">
        <v>2</v>
      </c>
      <c r="C61" s="92">
        <v>2</v>
      </c>
      <c r="D61" s="85"/>
      <c r="E61" s="85"/>
      <c r="F61" s="104" t="s">
        <v>46</v>
      </c>
      <c r="G61" s="95">
        <f>SUM(G62:G63)</f>
        <v>1275500</v>
      </c>
      <c r="H61" s="96">
        <f t="shared" ref="H61:V61" si="22">H62+H63</f>
        <v>0</v>
      </c>
      <c r="I61" s="20" t="e">
        <f t="shared" si="22"/>
        <v>#REF!</v>
      </c>
      <c r="J61" s="96">
        <f t="shared" si="22"/>
        <v>3325</v>
      </c>
      <c r="K61" s="96">
        <f t="shared" si="22"/>
        <v>7450</v>
      </c>
      <c r="L61" s="96">
        <f t="shared" si="22"/>
        <v>4760</v>
      </c>
      <c r="M61" s="96">
        <f t="shared" si="22"/>
        <v>0</v>
      </c>
      <c r="N61" s="105">
        <f t="shared" si="22"/>
        <v>165100</v>
      </c>
      <c r="O61" s="105">
        <f t="shared" si="22"/>
        <v>218610</v>
      </c>
      <c r="P61" s="105">
        <f t="shared" si="22"/>
        <v>10072</v>
      </c>
      <c r="Q61" s="105">
        <f t="shared" si="22"/>
        <v>0</v>
      </c>
      <c r="R61" s="105">
        <f t="shared" si="22"/>
        <v>234197.78</v>
      </c>
      <c r="S61" s="105">
        <f t="shared" si="22"/>
        <v>15966.099999999999</v>
      </c>
      <c r="T61" s="105">
        <f t="shared" si="22"/>
        <v>0</v>
      </c>
      <c r="U61" s="105">
        <f>U62+U63</f>
        <v>659480.88</v>
      </c>
      <c r="V61" s="212">
        <f t="shared" si="22"/>
        <v>616019.12000000011</v>
      </c>
    </row>
    <row r="62" spans="1:23" ht="15.75" x14ac:dyDescent="0.25">
      <c r="A62" s="85">
        <v>2</v>
      </c>
      <c r="B62" s="85">
        <v>2</v>
      </c>
      <c r="C62" s="92">
        <v>2</v>
      </c>
      <c r="D62" s="85">
        <v>1</v>
      </c>
      <c r="E62" s="85"/>
      <c r="F62" s="106" t="s">
        <v>47</v>
      </c>
      <c r="G62" s="107">
        <v>775500</v>
      </c>
      <c r="H62" s="109"/>
      <c r="I62" s="12" t="e">
        <f>+G62-#REF!</f>
        <v>#REF!</v>
      </c>
      <c r="J62" s="109">
        <v>3100</v>
      </c>
      <c r="K62" s="109">
        <v>3450</v>
      </c>
      <c r="L62" s="109">
        <v>0</v>
      </c>
      <c r="M62" s="109"/>
      <c r="N62" s="110">
        <v>165000</v>
      </c>
      <c r="O62" s="110"/>
      <c r="P62" s="110"/>
      <c r="Q62" s="110"/>
      <c r="R62" s="110">
        <f>1050+1933.58</f>
        <v>2983.58</v>
      </c>
      <c r="S62" s="110"/>
      <c r="T62" s="110"/>
      <c r="U62" s="103">
        <f>+H62+J62+K62+L62+M62+N62+O62+P62+Q62+R62+S62+T62</f>
        <v>174533.58</v>
      </c>
      <c r="V62" s="207">
        <f>+G62-U62</f>
        <v>600966.42000000004</v>
      </c>
    </row>
    <row r="63" spans="1:23" ht="15.75" x14ac:dyDescent="0.25">
      <c r="A63" s="85">
        <v>2</v>
      </c>
      <c r="B63" s="85">
        <v>2</v>
      </c>
      <c r="C63" s="92">
        <v>2</v>
      </c>
      <c r="D63" s="85">
        <v>2</v>
      </c>
      <c r="E63" s="85"/>
      <c r="F63" s="106" t="s">
        <v>48</v>
      </c>
      <c r="G63" s="108">
        <v>500000</v>
      </c>
      <c r="H63" s="110"/>
      <c r="I63" s="12" t="e">
        <f>+G63-#REF!</f>
        <v>#REF!</v>
      </c>
      <c r="J63" s="110">
        <v>225</v>
      </c>
      <c r="K63" s="110">
        <v>4000</v>
      </c>
      <c r="L63" s="110">
        <v>4760</v>
      </c>
      <c r="M63" s="110"/>
      <c r="N63" s="110">
        <v>100</v>
      </c>
      <c r="O63" s="110">
        <v>218610</v>
      </c>
      <c r="P63" s="110">
        <v>10072</v>
      </c>
      <c r="Q63" s="110"/>
      <c r="R63" s="110">
        <f>15214.2+6000+210000</f>
        <v>231214.2</v>
      </c>
      <c r="S63" s="110">
        <f>9717.3+6248.8</f>
        <v>15966.099999999999</v>
      </c>
      <c r="T63" s="110"/>
      <c r="U63" s="103">
        <f>+H63+J63+K63+L63+M63+N63+O63+P63+Q63+R63+S63+T63</f>
        <v>484947.3</v>
      </c>
      <c r="V63" s="207">
        <f>+G63-U63</f>
        <v>15052.700000000012</v>
      </c>
    </row>
    <row r="64" spans="1:23" ht="15.75" x14ac:dyDescent="0.25">
      <c r="A64" s="85"/>
      <c r="B64" s="85"/>
      <c r="C64" s="92"/>
      <c r="D64" s="85"/>
      <c r="E64" s="85"/>
      <c r="F64" s="99"/>
      <c r="G64" s="108"/>
      <c r="H64" s="110"/>
      <c r="I64" s="12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207"/>
    </row>
    <row r="65" spans="1:23" ht="16.5" thickBot="1" x14ac:dyDescent="0.3">
      <c r="A65" s="85">
        <v>2</v>
      </c>
      <c r="B65" s="85">
        <v>2</v>
      </c>
      <c r="C65" s="92">
        <v>3</v>
      </c>
      <c r="D65" s="85"/>
      <c r="E65" s="85"/>
      <c r="F65" s="104" t="s">
        <v>49</v>
      </c>
      <c r="G65" s="95">
        <f>G66+G67</f>
        <v>550000</v>
      </c>
      <c r="H65" s="105">
        <f>H66+H67</f>
        <v>0</v>
      </c>
      <c r="I65" s="10" t="e">
        <f>I66+I67</f>
        <v>#REF!</v>
      </c>
      <c r="J65" s="105">
        <f>J66+J67</f>
        <v>0</v>
      </c>
      <c r="K65" s="105">
        <f>K66+K67</f>
        <v>1600</v>
      </c>
      <c r="L65" s="105">
        <f t="shared" ref="L65:T65" si="23">L66+L67</f>
        <v>90183.12</v>
      </c>
      <c r="M65" s="105">
        <f t="shared" si="23"/>
        <v>130003.2</v>
      </c>
      <c r="N65" s="105">
        <f t="shared" si="23"/>
        <v>0</v>
      </c>
      <c r="O65" s="105">
        <f t="shared" si="23"/>
        <v>3000</v>
      </c>
      <c r="P65" s="105">
        <f t="shared" si="23"/>
        <v>5000</v>
      </c>
      <c r="Q65" s="105">
        <f t="shared" si="23"/>
        <v>2000</v>
      </c>
      <c r="R65" s="105">
        <f t="shared" si="23"/>
        <v>1000</v>
      </c>
      <c r="S65" s="105">
        <f t="shared" si="23"/>
        <v>114701</v>
      </c>
      <c r="T65" s="105">
        <f t="shared" si="23"/>
        <v>3600</v>
      </c>
      <c r="U65" s="105">
        <f>U66+U67</f>
        <v>351087.32</v>
      </c>
      <c r="V65" s="206">
        <f>V66+V67</f>
        <v>198912.68</v>
      </c>
    </row>
    <row r="66" spans="1:23" ht="15.75" x14ac:dyDescent="0.25">
      <c r="A66" s="85">
        <v>2</v>
      </c>
      <c r="B66" s="85">
        <v>2</v>
      </c>
      <c r="C66" s="92">
        <v>3</v>
      </c>
      <c r="D66" s="85">
        <v>1</v>
      </c>
      <c r="E66" s="119"/>
      <c r="F66" s="106" t="s">
        <v>50</v>
      </c>
      <c r="G66" s="100"/>
      <c r="H66" s="101"/>
      <c r="I66" s="8" t="e">
        <f>+G66-#REF!</f>
        <v>#REF!</v>
      </c>
      <c r="J66" s="101"/>
      <c r="K66" s="109">
        <f>1000+300+300</f>
        <v>1600</v>
      </c>
      <c r="L66" s="109">
        <f>2000+500+1000+1000</f>
        <v>4500</v>
      </c>
      <c r="M66" s="109"/>
      <c r="N66" s="110"/>
      <c r="O66" s="110">
        <f>1500+1500</f>
        <v>3000</v>
      </c>
      <c r="P66" s="110">
        <f>2000+1000+2000</f>
        <v>5000</v>
      </c>
      <c r="Q66" s="110">
        <v>2000</v>
      </c>
      <c r="R66" s="110">
        <v>1000</v>
      </c>
      <c r="S66" s="110">
        <f>3000+600</f>
        <v>3600</v>
      </c>
      <c r="T66" s="110">
        <f>2600+1000</f>
        <v>3600</v>
      </c>
      <c r="U66" s="103">
        <f>+H66+J66+K66+L66+M66+N66+O66+P66+Q66+R66+S66+T66</f>
        <v>24300</v>
      </c>
      <c r="V66" s="208">
        <f>+G66-U66</f>
        <v>-24300</v>
      </c>
    </row>
    <row r="67" spans="1:23" ht="15.75" x14ac:dyDescent="0.25">
      <c r="A67" s="85">
        <v>2</v>
      </c>
      <c r="B67" s="85">
        <v>2</v>
      </c>
      <c r="C67" s="92">
        <v>3</v>
      </c>
      <c r="D67" s="85">
        <v>2</v>
      </c>
      <c r="E67" s="119"/>
      <c r="F67" s="106" t="s">
        <v>51</v>
      </c>
      <c r="G67" s="108">
        <v>550000</v>
      </c>
      <c r="H67" s="110"/>
      <c r="I67" s="12" t="e">
        <f>+G67-#REF!</f>
        <v>#REF!</v>
      </c>
      <c r="J67" s="110"/>
      <c r="K67" s="110"/>
      <c r="L67" s="110">
        <v>85683.12</v>
      </c>
      <c r="M67" s="110">
        <v>130003.2</v>
      </c>
      <c r="N67" s="110"/>
      <c r="O67" s="110"/>
      <c r="P67" s="110"/>
      <c r="Q67" s="110"/>
      <c r="R67" s="110"/>
      <c r="S67" s="110">
        <v>111101</v>
      </c>
      <c r="T67" s="110"/>
      <c r="U67" s="103">
        <f>+H67+J67+K67+L67+M67+N67+O67+P67+Q67+R67+S67+T67</f>
        <v>326787.32</v>
      </c>
      <c r="V67" s="207">
        <f>+G67-U67</f>
        <v>223212.68</v>
      </c>
      <c r="W67" s="261"/>
    </row>
    <row r="68" spans="1:23" ht="15.75" x14ac:dyDescent="0.25">
      <c r="A68" s="85"/>
      <c r="B68" s="85"/>
      <c r="C68" s="92"/>
      <c r="D68" s="85"/>
      <c r="E68" s="85"/>
      <c r="F68" s="106"/>
      <c r="G68" s="108"/>
      <c r="H68" s="110"/>
      <c r="I68" s="12" t="e">
        <f>+G68-#REF!</f>
        <v>#REF!</v>
      </c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207">
        <f>+G68-U68</f>
        <v>0</v>
      </c>
    </row>
    <row r="69" spans="1:23" ht="16.5" thickBot="1" x14ac:dyDescent="0.3">
      <c r="A69" s="85">
        <v>2</v>
      </c>
      <c r="B69" s="85">
        <v>2</v>
      </c>
      <c r="C69" s="92">
        <v>4</v>
      </c>
      <c r="D69" s="85"/>
      <c r="E69" s="85"/>
      <c r="F69" s="104" t="s">
        <v>52</v>
      </c>
      <c r="G69" s="95">
        <f>G70+G71</f>
        <v>280000</v>
      </c>
      <c r="H69" s="105">
        <f>H70+H71</f>
        <v>6910.99</v>
      </c>
      <c r="I69" s="10" t="e">
        <f>+G69-#REF!</f>
        <v>#REF!</v>
      </c>
      <c r="J69" s="105">
        <f>J70+J71</f>
        <v>1600</v>
      </c>
      <c r="K69" s="105">
        <f>K70+K71</f>
        <v>5688.34</v>
      </c>
      <c r="L69" s="105">
        <f t="shared" ref="L69:T69" si="24">L70+L71</f>
        <v>17923.03</v>
      </c>
      <c r="M69" s="105">
        <f t="shared" si="24"/>
        <v>35708.619999999995</v>
      </c>
      <c r="N69" s="105">
        <f t="shared" si="24"/>
        <v>4330.1899999999996</v>
      </c>
      <c r="O69" s="105">
        <f t="shared" si="24"/>
        <v>16143.07</v>
      </c>
      <c r="P69" s="105">
        <f t="shared" si="24"/>
        <v>95416.75</v>
      </c>
      <c r="Q69" s="105">
        <f t="shared" si="24"/>
        <v>14083.41</v>
      </c>
      <c r="R69" s="105">
        <f t="shared" si="24"/>
        <v>8113.63</v>
      </c>
      <c r="S69" s="105">
        <f t="shared" si="24"/>
        <v>13749.47</v>
      </c>
      <c r="T69" s="105">
        <f t="shared" si="24"/>
        <v>12349.15</v>
      </c>
      <c r="U69" s="105">
        <f>U70+U71</f>
        <v>232016.65</v>
      </c>
      <c r="V69" s="206">
        <f>V70+V71+V72</f>
        <v>47983.350000000006</v>
      </c>
    </row>
    <row r="70" spans="1:23" ht="15.75" x14ac:dyDescent="0.25">
      <c r="A70" s="85">
        <v>2</v>
      </c>
      <c r="B70" s="85">
        <v>2</v>
      </c>
      <c r="C70" s="92">
        <v>4</v>
      </c>
      <c r="D70" s="85">
        <v>1</v>
      </c>
      <c r="E70" s="85"/>
      <c r="F70" s="106" t="s">
        <v>53</v>
      </c>
      <c r="G70" s="107">
        <v>280000</v>
      </c>
      <c r="H70" s="110">
        <f>780+6130.99</f>
        <v>6910.99</v>
      </c>
      <c r="I70" s="12" t="e">
        <f>+G70-#REF!</f>
        <v>#REF!</v>
      </c>
      <c r="J70" s="110">
        <f>200+100+100+200+300+200+200+300</f>
        <v>1600</v>
      </c>
      <c r="K70" s="110">
        <f>4338.34+100+100+100+100+100+100+200+50+100+100+100+100+100</f>
        <v>5688.34</v>
      </c>
      <c r="L70" s="110">
        <f>10037.83+100+100+100+7585.2</f>
        <v>17923.03</v>
      </c>
      <c r="M70" s="110">
        <f>26358.62+6850+300+500+300+500+700+200</f>
        <v>35708.619999999995</v>
      </c>
      <c r="N70" s="109">
        <f>4130.19+100+100</f>
        <v>4330.1899999999996</v>
      </c>
      <c r="O70" s="109">
        <f>650+700+700+600+700+530+100+100+100+100+100+100+11663.07</f>
        <v>16143.07</v>
      </c>
      <c r="P70" s="109">
        <f>13990.31+77141.53+313.72+600+600+200+100+100+296.19+325+550+100+100+100+100+100+700</f>
        <v>95416.75</v>
      </c>
      <c r="Q70" s="109">
        <f>200+225+100+100+100+100+11008.42+1999.99+250</f>
        <v>14083.41</v>
      </c>
      <c r="R70" s="109">
        <f>230+100+100+100+100+100+100+700+6383.63+200</f>
        <v>8113.63</v>
      </c>
      <c r="S70" s="109">
        <f>3000+100+100+100+250+9999.47+200</f>
        <v>13749.47</v>
      </c>
      <c r="T70" s="109">
        <f>7959.55+2851.91+1537.69</f>
        <v>12349.15</v>
      </c>
      <c r="U70" s="182">
        <f>+H70+J70+K70+L70+M70+N70+O70+P70+Q70+R70+S70+T70</f>
        <v>232016.65</v>
      </c>
      <c r="V70" s="207">
        <f>+G70-U70</f>
        <v>47983.350000000006</v>
      </c>
      <c r="W70" s="261"/>
    </row>
    <row r="71" spans="1:23" ht="15.75" x14ac:dyDescent="0.25">
      <c r="A71" s="85">
        <v>2</v>
      </c>
      <c r="B71" s="85">
        <v>2</v>
      </c>
      <c r="C71" s="92">
        <v>4</v>
      </c>
      <c r="D71" s="85">
        <v>3</v>
      </c>
      <c r="E71" s="85"/>
      <c r="F71" s="106" t="s">
        <v>54</v>
      </c>
      <c r="G71" s="108"/>
      <c r="H71" s="110">
        <v>0</v>
      </c>
      <c r="I71" s="12" t="e">
        <f>+G71-#REF!</f>
        <v>#REF!</v>
      </c>
      <c r="J71" s="110">
        <v>0</v>
      </c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>
        <f>+H71+J71+K71+L71+M71+N71+O71+P71+Q71+R71+S71</f>
        <v>0</v>
      </c>
      <c r="V71" s="207">
        <f>+G71-U71</f>
        <v>0</v>
      </c>
    </row>
    <row r="72" spans="1:23" ht="15.75" x14ac:dyDescent="0.25">
      <c r="A72" s="85"/>
      <c r="B72" s="85"/>
      <c r="C72" s="92"/>
      <c r="D72" s="85"/>
      <c r="E72" s="85"/>
      <c r="F72" s="106"/>
      <c r="G72" s="108"/>
      <c r="H72" s="110"/>
      <c r="I72" s="12" t="e">
        <f>+G72-#REF!</f>
        <v>#REF!</v>
      </c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207">
        <f>+G72-U72</f>
        <v>0</v>
      </c>
    </row>
    <row r="73" spans="1:23" ht="16.5" thickBot="1" x14ac:dyDescent="0.3">
      <c r="A73" s="85">
        <v>2</v>
      </c>
      <c r="B73" s="85">
        <v>2</v>
      </c>
      <c r="C73" s="92">
        <v>5</v>
      </c>
      <c r="D73" s="85"/>
      <c r="E73" s="85"/>
      <c r="F73" s="104" t="s">
        <v>55</v>
      </c>
      <c r="G73" s="95">
        <f>G74+G79</f>
        <v>10004331</v>
      </c>
      <c r="H73" s="96">
        <f t="shared" ref="H73:V73" si="25">H76+H74</f>
        <v>792285.26</v>
      </c>
      <c r="I73" s="6" t="e">
        <f t="shared" si="25"/>
        <v>#REF!</v>
      </c>
      <c r="J73" s="96">
        <f t="shared" si="25"/>
        <v>801242.44</v>
      </c>
      <c r="K73" s="96">
        <f t="shared" si="25"/>
        <v>801396.64</v>
      </c>
      <c r="L73" s="96">
        <f t="shared" si="25"/>
        <v>806109.24</v>
      </c>
      <c r="M73" s="96">
        <f t="shared" si="25"/>
        <v>792121.59</v>
      </c>
      <c r="N73" s="105">
        <f t="shared" si="25"/>
        <v>806673.29</v>
      </c>
      <c r="O73" s="105">
        <f t="shared" si="25"/>
        <v>804889.16</v>
      </c>
      <c r="P73" s="105">
        <f t="shared" si="25"/>
        <v>810214.5</v>
      </c>
      <c r="Q73" s="105">
        <f t="shared" si="25"/>
        <v>813433.77999999991</v>
      </c>
      <c r="R73" s="105">
        <f t="shared" si="25"/>
        <v>852313.21</v>
      </c>
      <c r="S73" s="105">
        <f>S76+S74</f>
        <v>874032.83000000007</v>
      </c>
      <c r="T73" s="105">
        <f>T76+T74</f>
        <v>842197.35</v>
      </c>
      <c r="U73" s="105">
        <f>U76+U74</f>
        <v>9796909.290000001</v>
      </c>
      <c r="V73" s="202">
        <f t="shared" si="25"/>
        <v>207421.70999999903</v>
      </c>
    </row>
    <row r="74" spans="1:23" ht="31.5" x14ac:dyDescent="0.25">
      <c r="A74" s="85">
        <v>2</v>
      </c>
      <c r="B74" s="85">
        <v>2</v>
      </c>
      <c r="C74" s="92">
        <v>5</v>
      </c>
      <c r="D74" s="85">
        <v>1</v>
      </c>
      <c r="E74" s="85"/>
      <c r="F74" s="99" t="s">
        <v>56</v>
      </c>
      <c r="G74" s="107">
        <v>9685383</v>
      </c>
      <c r="H74" s="109">
        <f>17098.97+766926.29</f>
        <v>784025.26</v>
      </c>
      <c r="I74" s="13" t="e">
        <f>+G74-#REF!</f>
        <v>#REF!</v>
      </c>
      <c r="J74" s="109">
        <f>17294.32+775688.12</f>
        <v>792982.44</v>
      </c>
      <c r="K74" s="109">
        <f>17297.68+775838.96</f>
        <v>793136.64000000001</v>
      </c>
      <c r="L74" s="109">
        <f>17400.46+780448.78</f>
        <v>797849.24</v>
      </c>
      <c r="M74" s="109">
        <f>766766.19+17095.4</f>
        <v>783861.59</v>
      </c>
      <c r="N74" s="110">
        <f>17412.76+781000.53</f>
        <v>798413.29</v>
      </c>
      <c r="O74" s="110">
        <f>779255.31+17373.85</f>
        <v>796629.16</v>
      </c>
      <c r="P74" s="110">
        <f>784464.51+17489.99</f>
        <v>801954.5</v>
      </c>
      <c r="Q74" s="110">
        <f>787613.58+17560.2</f>
        <v>805173.77999999991</v>
      </c>
      <c r="R74" s="110">
        <f>792712.96+17673.89+33666.36</f>
        <v>844053.21</v>
      </c>
      <c r="S74" s="110">
        <f>17714.4+814392.43+33666</f>
        <v>865772.83000000007</v>
      </c>
      <c r="T74" s="110">
        <f>17753.36+816183.99</f>
        <v>833937.35</v>
      </c>
      <c r="U74" s="103">
        <f>+H74+J74+K74+L74+M74+N74+O74+P74+Q74+R74+S74+T74</f>
        <v>9697789.290000001</v>
      </c>
      <c r="V74" s="208">
        <f>+G74-U74</f>
        <v>-12406.290000000969</v>
      </c>
      <c r="W74" s="261"/>
    </row>
    <row r="75" spans="1:23" ht="15.75" x14ac:dyDescent="0.25">
      <c r="A75" s="85"/>
      <c r="B75" s="85"/>
      <c r="C75" s="92"/>
      <c r="D75" s="85"/>
      <c r="E75" s="119"/>
      <c r="F75" s="106"/>
      <c r="G75" s="108"/>
      <c r="H75" s="110"/>
      <c r="I75" s="12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207"/>
    </row>
    <row r="76" spans="1:23" ht="32.25" thickBot="1" x14ac:dyDescent="0.3">
      <c r="A76" s="85">
        <v>2</v>
      </c>
      <c r="B76" s="85">
        <v>2</v>
      </c>
      <c r="C76" s="92">
        <v>5</v>
      </c>
      <c r="D76" s="85">
        <v>3</v>
      </c>
      <c r="E76" s="93"/>
      <c r="F76" s="104" t="s">
        <v>57</v>
      </c>
      <c r="G76" s="95">
        <f t="shared" ref="G76:V76" si="26">G77+G78+G79</f>
        <v>318948</v>
      </c>
      <c r="H76" s="105">
        <f t="shared" si="26"/>
        <v>8260</v>
      </c>
      <c r="I76" s="10" t="e">
        <f t="shared" si="26"/>
        <v>#REF!</v>
      </c>
      <c r="J76" s="105">
        <f t="shared" si="26"/>
        <v>8260</v>
      </c>
      <c r="K76" s="105">
        <f t="shared" si="26"/>
        <v>8260</v>
      </c>
      <c r="L76" s="105">
        <f t="shared" si="26"/>
        <v>8260</v>
      </c>
      <c r="M76" s="105">
        <f t="shared" si="26"/>
        <v>8260</v>
      </c>
      <c r="N76" s="105">
        <f t="shared" si="26"/>
        <v>8260</v>
      </c>
      <c r="O76" s="105">
        <f t="shared" si="26"/>
        <v>8260</v>
      </c>
      <c r="P76" s="105">
        <f t="shared" si="26"/>
        <v>8260</v>
      </c>
      <c r="Q76" s="105">
        <f t="shared" si="26"/>
        <v>8260</v>
      </c>
      <c r="R76" s="105">
        <f t="shared" si="26"/>
        <v>8260</v>
      </c>
      <c r="S76" s="105">
        <f t="shared" si="26"/>
        <v>8260</v>
      </c>
      <c r="T76" s="105">
        <f t="shared" si="26"/>
        <v>8260</v>
      </c>
      <c r="U76" s="105">
        <f>U77+U78+U79</f>
        <v>99120</v>
      </c>
      <c r="V76" s="206">
        <f t="shared" si="26"/>
        <v>219828</v>
      </c>
    </row>
    <row r="77" spans="1:23" ht="15.75" x14ac:dyDescent="0.25">
      <c r="A77" s="85">
        <v>2</v>
      </c>
      <c r="B77" s="85">
        <v>2</v>
      </c>
      <c r="C77" s="92">
        <v>5</v>
      </c>
      <c r="D77" s="85">
        <v>3</v>
      </c>
      <c r="E77" s="85">
        <v>2</v>
      </c>
      <c r="F77" s="99" t="s">
        <v>58</v>
      </c>
      <c r="G77" s="107"/>
      <c r="H77" s="110">
        <v>0</v>
      </c>
      <c r="I77" s="12" t="e">
        <f>+G77-#REF!</f>
        <v>#REF!</v>
      </c>
      <c r="J77" s="110">
        <v>0</v>
      </c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03">
        <f>+H77+J77+K77+L77+M77+N77+O77+P77+Q77+R77+S77+T77</f>
        <v>0</v>
      </c>
      <c r="V77" s="207">
        <f>+G77-U77</f>
        <v>0</v>
      </c>
    </row>
    <row r="78" spans="1:23" ht="31.5" x14ac:dyDescent="0.25">
      <c r="A78" s="85">
        <v>2</v>
      </c>
      <c r="B78" s="85">
        <v>2</v>
      </c>
      <c r="C78" s="92">
        <v>5</v>
      </c>
      <c r="D78" s="85">
        <v>3</v>
      </c>
      <c r="E78" s="85">
        <v>3</v>
      </c>
      <c r="F78" s="99" t="s">
        <v>59</v>
      </c>
      <c r="G78" s="108"/>
      <c r="H78" s="110"/>
      <c r="I78" s="12" t="e">
        <f>+G78-#REF!</f>
        <v>#REF!</v>
      </c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03">
        <f>+H78+J78+K78+L78+M78+N78+O78+P78+Q78+R78+S78+T78</f>
        <v>0</v>
      </c>
      <c r="V78" s="207">
        <f>+G78-U78</f>
        <v>0</v>
      </c>
    </row>
    <row r="79" spans="1:23" ht="31.5" x14ac:dyDescent="0.25">
      <c r="A79" s="85">
        <v>2</v>
      </c>
      <c r="B79" s="85">
        <v>2</v>
      </c>
      <c r="C79" s="92">
        <v>5</v>
      </c>
      <c r="D79" s="85">
        <v>3</v>
      </c>
      <c r="E79" s="85">
        <v>4</v>
      </c>
      <c r="F79" s="99" t="s">
        <v>60</v>
      </c>
      <c r="G79" s="108">
        <v>318948</v>
      </c>
      <c r="H79" s="110">
        <v>8260</v>
      </c>
      <c r="I79" s="12" t="e">
        <f>+G79-#REF!</f>
        <v>#REF!</v>
      </c>
      <c r="J79" s="110">
        <v>8260</v>
      </c>
      <c r="K79" s="110">
        <v>8260</v>
      </c>
      <c r="L79" s="110">
        <v>8260</v>
      </c>
      <c r="M79" s="110">
        <v>8260</v>
      </c>
      <c r="N79" s="110">
        <v>8260</v>
      </c>
      <c r="O79" s="110">
        <v>8260</v>
      </c>
      <c r="P79" s="110">
        <v>8260</v>
      </c>
      <c r="Q79" s="110">
        <v>8260</v>
      </c>
      <c r="R79" s="110">
        <v>8260</v>
      </c>
      <c r="S79" s="110">
        <v>8260</v>
      </c>
      <c r="T79" s="110">
        <v>8260</v>
      </c>
      <c r="U79" s="103">
        <f>+H79+J79+K79+L79+M79+N79+O79+P79+Q79+R79+S79+T79</f>
        <v>99120</v>
      </c>
      <c r="V79" s="207">
        <f>+G79-U79</f>
        <v>219828</v>
      </c>
    </row>
    <row r="80" spans="1:23" ht="16.5" thickBot="1" x14ac:dyDescent="0.3">
      <c r="A80" s="85"/>
      <c r="B80" s="85"/>
      <c r="C80" s="92"/>
      <c r="D80" s="85"/>
      <c r="E80" s="85"/>
      <c r="F80" s="99"/>
      <c r="G80" s="108"/>
      <c r="H80" s="110"/>
      <c r="I80" s="12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207"/>
    </row>
    <row r="81" spans="1:24" s="21" customFormat="1" ht="16.5" thickBot="1" x14ac:dyDescent="0.3">
      <c r="A81" s="85">
        <v>2</v>
      </c>
      <c r="B81" s="85">
        <v>2</v>
      </c>
      <c r="C81" s="92">
        <v>6</v>
      </c>
      <c r="D81" s="85"/>
      <c r="E81" s="85"/>
      <c r="F81" s="99" t="s">
        <v>61</v>
      </c>
      <c r="G81" s="112">
        <f t="shared" ref="G81:V81" si="27">G83+G82</f>
        <v>1593000</v>
      </c>
      <c r="H81" s="113">
        <f t="shared" si="27"/>
        <v>108478.82</v>
      </c>
      <c r="I81" s="113" t="e">
        <f t="shared" si="27"/>
        <v>#REF!</v>
      </c>
      <c r="J81" s="113">
        <f t="shared" si="27"/>
        <v>108478.82</v>
      </c>
      <c r="K81" s="113">
        <f t="shared" si="27"/>
        <v>191755.74</v>
      </c>
      <c r="L81" s="113">
        <f t="shared" si="27"/>
        <v>229933.34000000003</v>
      </c>
      <c r="M81" s="113">
        <f t="shared" si="27"/>
        <v>125469</v>
      </c>
      <c r="N81" s="113">
        <f t="shared" si="27"/>
        <v>125468.75</v>
      </c>
      <c r="O81" s="113">
        <f t="shared" si="27"/>
        <v>125468.75</v>
      </c>
      <c r="P81" s="113">
        <f t="shared" si="27"/>
        <v>125468.75</v>
      </c>
      <c r="Q81" s="113">
        <f t="shared" si="27"/>
        <v>125468.75</v>
      </c>
      <c r="R81" s="113">
        <f t="shared" si="27"/>
        <v>227024.85</v>
      </c>
      <c r="S81" s="113">
        <f>S83+S82</f>
        <v>125468.75</v>
      </c>
      <c r="T81" s="113">
        <f>T83+T82</f>
        <v>125468.75</v>
      </c>
      <c r="U81" s="113">
        <f t="shared" si="27"/>
        <v>1743953.07</v>
      </c>
      <c r="V81" s="209">
        <f t="shared" si="27"/>
        <v>-150953.07000000012</v>
      </c>
    </row>
    <row r="82" spans="1:24" ht="16.5" thickBot="1" x14ac:dyDescent="0.3">
      <c r="A82" s="120">
        <v>2</v>
      </c>
      <c r="B82" s="120">
        <v>2</v>
      </c>
      <c r="C82" s="121">
        <v>6</v>
      </c>
      <c r="D82" s="120">
        <v>2</v>
      </c>
      <c r="E82" s="120">
        <v>1</v>
      </c>
      <c r="F82" s="122" t="s">
        <v>62</v>
      </c>
      <c r="G82" s="123">
        <v>93000</v>
      </c>
      <c r="H82" s="98"/>
      <c r="I82" s="16" t="e">
        <f>+G82-#REF!</f>
        <v>#REF!</v>
      </c>
      <c r="J82" s="98"/>
      <c r="K82" s="98"/>
      <c r="L82" s="98">
        <f>101556.1</f>
        <v>101556.1</v>
      </c>
      <c r="M82" s="98"/>
      <c r="N82" s="98"/>
      <c r="O82" s="98"/>
      <c r="P82" s="98"/>
      <c r="Q82" s="98"/>
      <c r="R82" s="98">
        <v>101556.1</v>
      </c>
      <c r="S82" s="98"/>
      <c r="T82" s="98"/>
      <c r="U82" s="130">
        <f>+H82+J82+K82+L82+M82+N82+O82+P82+Q82+R82+S82+T82</f>
        <v>203112.2</v>
      </c>
      <c r="V82" s="210">
        <f>+G82-U82</f>
        <v>-110112.20000000001</v>
      </c>
      <c r="W82" s="261"/>
      <c r="X82" s="261"/>
    </row>
    <row r="83" spans="1:24" ht="15.75" x14ac:dyDescent="0.25">
      <c r="A83" s="85">
        <v>2</v>
      </c>
      <c r="B83" s="85">
        <v>2</v>
      </c>
      <c r="C83" s="92">
        <v>6</v>
      </c>
      <c r="D83" s="85">
        <v>3</v>
      </c>
      <c r="E83" s="85">
        <v>1</v>
      </c>
      <c r="F83" s="99" t="s">
        <v>63</v>
      </c>
      <c r="G83" s="108">
        <v>1500000</v>
      </c>
      <c r="H83" s="110">
        <v>108478.82</v>
      </c>
      <c r="I83" s="12" t="e">
        <f>+G83-#REF!</f>
        <v>#REF!</v>
      </c>
      <c r="J83" s="110">
        <v>108478.82</v>
      </c>
      <c r="K83" s="110">
        <f>113089.65+39242.96+23071.9+16351.23</f>
        <v>191755.74</v>
      </c>
      <c r="L83" s="110">
        <f>112025.61+16351.63</f>
        <v>128377.24</v>
      </c>
      <c r="M83" s="110">
        <v>125469</v>
      </c>
      <c r="N83" s="110">
        <v>125468.75</v>
      </c>
      <c r="O83" s="110">
        <v>125468.75</v>
      </c>
      <c r="P83" s="110">
        <v>125468.75</v>
      </c>
      <c r="Q83" s="110">
        <v>125468.75</v>
      </c>
      <c r="R83" s="110">
        <v>125468.75</v>
      </c>
      <c r="S83" s="110">
        <v>125468.75</v>
      </c>
      <c r="T83" s="110">
        <v>125468.75</v>
      </c>
      <c r="U83" s="103">
        <f>+H83+J83+K83+L83+M83+N83+O83+P83+Q83+R83+S83+T83</f>
        <v>1540840.87</v>
      </c>
      <c r="V83" s="207">
        <f>+G83-U83</f>
        <v>-40840.870000000112</v>
      </c>
      <c r="W83" s="261"/>
    </row>
    <row r="84" spans="1:24" ht="15.75" x14ac:dyDescent="0.25">
      <c r="A84" s="85"/>
      <c r="B84" s="85"/>
      <c r="C84" s="92"/>
      <c r="D84" s="85"/>
      <c r="E84" s="85"/>
      <c r="F84" s="99"/>
      <c r="G84" s="108"/>
      <c r="H84" s="110">
        <v>0</v>
      </c>
      <c r="I84" s="12">
        <v>0</v>
      </c>
      <c r="J84" s="110">
        <v>0</v>
      </c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03">
        <f>+H84+J84+K84+L84+M84+N84+O84+P84+Q84+R84+S84+T84</f>
        <v>0</v>
      </c>
      <c r="V84" s="207">
        <f>+G84-U84</f>
        <v>0</v>
      </c>
    </row>
    <row r="85" spans="1:24" ht="48" thickBot="1" x14ac:dyDescent="0.3">
      <c r="A85" s="85">
        <v>2</v>
      </c>
      <c r="B85" s="85">
        <v>2</v>
      </c>
      <c r="C85" s="92">
        <v>7</v>
      </c>
      <c r="D85" s="85"/>
      <c r="E85" s="93"/>
      <c r="F85" s="104" t="s">
        <v>64</v>
      </c>
      <c r="G85" s="125">
        <f>G86</f>
        <v>282000</v>
      </c>
      <c r="H85" s="96">
        <f>SUM(H87:H91)</f>
        <v>19800.52</v>
      </c>
      <c r="I85" s="96" t="e">
        <f>SUM(I87:I91)</f>
        <v>#REF!</v>
      </c>
      <c r="J85" s="96">
        <f>SUM(J87:J91)</f>
        <v>650</v>
      </c>
      <c r="K85" s="96">
        <f>SUM(K87:K91)</f>
        <v>0</v>
      </c>
      <c r="L85" s="96">
        <f t="shared" ref="L85:T85" si="28">SUM(L87:L91)</f>
        <v>4000</v>
      </c>
      <c r="M85" s="96">
        <f t="shared" si="28"/>
        <v>164125.1</v>
      </c>
      <c r="N85" s="96">
        <f t="shared" si="28"/>
        <v>9324.18</v>
      </c>
      <c r="O85" s="96">
        <f t="shared" si="28"/>
        <v>25214</v>
      </c>
      <c r="P85" s="96">
        <f t="shared" si="28"/>
        <v>1250</v>
      </c>
      <c r="Q85" s="96">
        <f t="shared" si="28"/>
        <v>111149.12</v>
      </c>
      <c r="R85" s="96">
        <f t="shared" si="28"/>
        <v>51546.35</v>
      </c>
      <c r="S85" s="96">
        <f t="shared" si="28"/>
        <v>60423.92</v>
      </c>
      <c r="T85" s="96">
        <f t="shared" si="28"/>
        <v>700</v>
      </c>
      <c r="U85" s="96">
        <f>SUM(U87:U91)</f>
        <v>448183.19000000006</v>
      </c>
      <c r="V85" s="202">
        <f>SUM(V87:V92)</f>
        <v>-166183.19</v>
      </c>
    </row>
    <row r="86" spans="1:24" ht="32.25" thickBot="1" x14ac:dyDescent="0.3">
      <c r="A86" s="85">
        <v>2</v>
      </c>
      <c r="B86" s="85">
        <v>2</v>
      </c>
      <c r="C86" s="92">
        <v>7</v>
      </c>
      <c r="D86" s="85">
        <v>2</v>
      </c>
      <c r="E86" s="93"/>
      <c r="F86" s="104" t="s">
        <v>65</v>
      </c>
      <c r="G86" s="112">
        <f>SUM(G88:G91)</f>
        <v>282000</v>
      </c>
      <c r="H86" s="166">
        <f>SUM(H87:H91)</f>
        <v>19800.52</v>
      </c>
      <c r="I86" s="166" t="e">
        <f>SUM(I87:I91)</f>
        <v>#REF!</v>
      </c>
      <c r="J86" s="166">
        <f>SUM(J87:J91)</f>
        <v>650</v>
      </c>
      <c r="K86" s="166">
        <f>SUM(K87:K91)</f>
        <v>0</v>
      </c>
      <c r="L86" s="166">
        <f>SUM(L87:L91)</f>
        <v>4000</v>
      </c>
      <c r="M86" s="166">
        <f t="shared" ref="M86:T86" si="29">SUM(M87:M91)</f>
        <v>164125.1</v>
      </c>
      <c r="N86" s="166">
        <f t="shared" si="29"/>
        <v>9324.18</v>
      </c>
      <c r="O86" s="166">
        <f t="shared" si="29"/>
        <v>25214</v>
      </c>
      <c r="P86" s="166">
        <f t="shared" si="29"/>
        <v>1250</v>
      </c>
      <c r="Q86" s="166">
        <f t="shared" si="29"/>
        <v>111149.12</v>
      </c>
      <c r="R86" s="166">
        <f t="shared" si="29"/>
        <v>51546.35</v>
      </c>
      <c r="S86" s="166">
        <f t="shared" si="29"/>
        <v>60423.92</v>
      </c>
      <c r="T86" s="166">
        <f t="shared" si="29"/>
        <v>700</v>
      </c>
      <c r="U86" s="166">
        <f>SUM(U87:U91)</f>
        <v>448183.19000000006</v>
      </c>
      <c r="V86" s="213">
        <f>SUM(V87:V91)</f>
        <v>-166183.19</v>
      </c>
      <c r="W86" s="18"/>
    </row>
    <row r="87" spans="1:24" ht="31.5" x14ac:dyDescent="0.25">
      <c r="A87" s="85">
        <v>2</v>
      </c>
      <c r="B87" s="85">
        <v>2</v>
      </c>
      <c r="C87" s="92">
        <v>7</v>
      </c>
      <c r="D87" s="85">
        <v>1</v>
      </c>
      <c r="E87" s="119">
        <v>2</v>
      </c>
      <c r="F87" s="126" t="s">
        <v>66</v>
      </c>
      <c r="G87" s="125"/>
      <c r="H87" s="167"/>
      <c r="I87" s="12" t="e">
        <f>+G87-#REF!</f>
        <v>#REF!</v>
      </c>
      <c r="J87" s="167"/>
      <c r="K87" s="167"/>
      <c r="L87" s="124">
        <f>2000+1500</f>
        <v>3500</v>
      </c>
      <c r="M87" s="124">
        <v>164125.1</v>
      </c>
      <c r="N87" s="236">
        <v>9324.18</v>
      </c>
      <c r="O87" s="168"/>
      <c r="P87" s="168"/>
      <c r="Q87" s="236">
        <f>12390+21876.65</f>
        <v>34266.65</v>
      </c>
      <c r="R87" s="236">
        <v>600</v>
      </c>
      <c r="S87" s="236">
        <v>8500.92</v>
      </c>
      <c r="T87" s="236"/>
      <c r="U87" s="182">
        <f>+H87+J87+K87+L87+M87+N87+O87+P87+Q87+R87+S87+T87</f>
        <v>220316.85</v>
      </c>
      <c r="V87" s="207">
        <f>+G87-U87</f>
        <v>-220316.85</v>
      </c>
    </row>
    <row r="88" spans="1:24" ht="47.25" x14ac:dyDescent="0.25">
      <c r="A88" s="85">
        <v>2</v>
      </c>
      <c r="B88" s="85">
        <v>2</v>
      </c>
      <c r="C88" s="92">
        <v>7</v>
      </c>
      <c r="D88" s="85">
        <v>2</v>
      </c>
      <c r="E88" s="119">
        <v>2</v>
      </c>
      <c r="F88" s="126" t="s">
        <v>67</v>
      </c>
      <c r="G88" s="108">
        <v>40000</v>
      </c>
      <c r="H88" s="110">
        <v>0</v>
      </c>
      <c r="I88" s="12" t="e">
        <f>+G88-#REF!</f>
        <v>#REF!</v>
      </c>
      <c r="J88" s="110">
        <v>0</v>
      </c>
      <c r="K88" s="110"/>
      <c r="L88" s="110"/>
      <c r="M88" s="110"/>
      <c r="N88" s="110"/>
      <c r="O88" s="110">
        <v>23364</v>
      </c>
      <c r="P88" s="110"/>
      <c r="Q88" s="110"/>
      <c r="R88" s="110">
        <f>22700+11085.93</f>
        <v>33785.93</v>
      </c>
      <c r="S88" s="110"/>
      <c r="T88" s="110"/>
      <c r="U88" s="103">
        <f>+H88+J88+K88+L88+M88+N88+O88+P88+Q88+R88+S88+T88</f>
        <v>57149.93</v>
      </c>
      <c r="V88" s="207">
        <f>+G88-U88</f>
        <v>-17149.93</v>
      </c>
      <c r="W88" s="261"/>
    </row>
    <row r="89" spans="1:24" ht="47.25" x14ac:dyDescent="0.25">
      <c r="A89" s="85">
        <v>2</v>
      </c>
      <c r="B89" s="85">
        <v>2</v>
      </c>
      <c r="C89" s="92">
        <v>7</v>
      </c>
      <c r="D89" s="85">
        <v>2</v>
      </c>
      <c r="E89" s="119">
        <v>3</v>
      </c>
      <c r="F89" s="126" t="s">
        <v>68</v>
      </c>
      <c r="G89" s="108"/>
      <c r="H89" s="110">
        <f>G89*12</f>
        <v>0</v>
      </c>
      <c r="I89" s="12" t="e">
        <f>+G89-#REF!</f>
        <v>#REF!</v>
      </c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03">
        <f>+H89+J89+K89+L89+M89+N89+O89+P89+Q89+R89+S89+T89</f>
        <v>0</v>
      </c>
      <c r="V89" s="207">
        <f>+G89-U89</f>
        <v>0</v>
      </c>
    </row>
    <row r="90" spans="1:24" ht="47.25" x14ac:dyDescent="0.25">
      <c r="A90" s="85">
        <v>2</v>
      </c>
      <c r="B90" s="85">
        <v>2</v>
      </c>
      <c r="C90" s="92">
        <v>7</v>
      </c>
      <c r="D90" s="85">
        <v>2</v>
      </c>
      <c r="E90" s="119">
        <v>4</v>
      </c>
      <c r="F90" s="126" t="s">
        <v>69</v>
      </c>
      <c r="G90" s="108">
        <v>92000</v>
      </c>
      <c r="H90" s="110"/>
      <c r="I90" s="12" t="e">
        <f>+G90-#REF!</f>
        <v>#REF!</v>
      </c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03">
        <f>+H90+J90+K90+L90+M90+N90+O90+P90+Q90+R90+S90+T90</f>
        <v>0</v>
      </c>
      <c r="V90" s="207">
        <f>+G90-U90</f>
        <v>92000</v>
      </c>
    </row>
    <row r="91" spans="1:24" ht="47.25" x14ac:dyDescent="0.25">
      <c r="A91" s="85">
        <v>2</v>
      </c>
      <c r="B91" s="85">
        <v>2</v>
      </c>
      <c r="C91" s="92">
        <v>7</v>
      </c>
      <c r="D91" s="85">
        <v>2</v>
      </c>
      <c r="E91" s="119">
        <v>6</v>
      </c>
      <c r="F91" s="126" t="s">
        <v>70</v>
      </c>
      <c r="G91" s="108">
        <v>150000</v>
      </c>
      <c r="H91" s="110">
        <f>9670.1+9530.42+600</f>
        <v>19800.52</v>
      </c>
      <c r="I91" s="12" t="e">
        <f>+G91-#REF!</f>
        <v>#REF!</v>
      </c>
      <c r="J91" s="110">
        <v>650</v>
      </c>
      <c r="K91" s="110"/>
      <c r="L91" s="110">
        <v>500</v>
      </c>
      <c r="M91" s="167"/>
      <c r="N91" s="167"/>
      <c r="O91" s="124">
        <f>600+600+650</f>
        <v>1850</v>
      </c>
      <c r="P91" s="124">
        <f>100+550+600</f>
        <v>1250</v>
      </c>
      <c r="Q91" s="124">
        <f>46414.28+29168.19+550+100+100+550</f>
        <v>76882.47</v>
      </c>
      <c r="R91" s="124">
        <f>100+600+100+550+15810.42</f>
        <v>17160.419999999998</v>
      </c>
      <c r="S91" s="124">
        <f>49973+650+650+650</f>
        <v>51923</v>
      </c>
      <c r="T91" s="124">
        <v>700</v>
      </c>
      <c r="U91" s="103">
        <f>+H91+J91+K91+L91+M91+N91+O91+P91+Q91+R91+S91+T91</f>
        <v>170716.41</v>
      </c>
      <c r="V91" s="207">
        <f>+G91-U91</f>
        <v>-20716.410000000003</v>
      </c>
      <c r="X91" s="18"/>
    </row>
    <row r="92" spans="1:24" ht="15.75" x14ac:dyDescent="0.25">
      <c r="A92" s="85"/>
      <c r="B92" s="85"/>
      <c r="C92" s="92"/>
      <c r="D92" s="85"/>
      <c r="E92" s="119"/>
      <c r="F92" s="106"/>
      <c r="G92" s="108"/>
      <c r="H92" s="110"/>
      <c r="I92" s="12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03">
        <f t="shared" ref="U92" si="30">+H92+J92+K92+L92+M92+N92+O92+P92+Q92+R92+S92+T92</f>
        <v>0</v>
      </c>
      <c r="V92" s="207"/>
    </row>
    <row r="93" spans="1:24" ht="32.25" thickBot="1" x14ac:dyDescent="0.3">
      <c r="A93" s="85">
        <v>2</v>
      </c>
      <c r="B93" s="85">
        <v>2</v>
      </c>
      <c r="C93" s="92">
        <v>8</v>
      </c>
      <c r="D93" s="85"/>
      <c r="E93" s="93"/>
      <c r="F93" s="104" t="s">
        <v>71</v>
      </c>
      <c r="G93" s="125">
        <f>SUM(G94+G95)+G97+G102</f>
        <v>10387302</v>
      </c>
      <c r="H93" s="96">
        <f>H94+H95+H97+H102</f>
        <v>256177.13999999998</v>
      </c>
      <c r="I93" s="6" t="e">
        <f t="shared" ref="I93:V93" si="31">I94+I95+I97+I102</f>
        <v>#REF!</v>
      </c>
      <c r="J93" s="96">
        <f t="shared" si="31"/>
        <v>436592.42</v>
      </c>
      <c r="K93" s="96">
        <f t="shared" si="31"/>
        <v>418896.86999999994</v>
      </c>
      <c r="L93" s="96">
        <f t="shared" si="31"/>
        <v>742049.15</v>
      </c>
      <c r="M93" s="96">
        <f t="shared" si="31"/>
        <v>558299.6</v>
      </c>
      <c r="N93" s="105">
        <f t="shared" si="31"/>
        <v>541933.75000000012</v>
      </c>
      <c r="O93" s="105">
        <f t="shared" si="31"/>
        <v>549163.19999999995</v>
      </c>
      <c r="P93" s="105">
        <f t="shared" si="31"/>
        <v>392446.31</v>
      </c>
      <c r="Q93" s="105">
        <f t="shared" si="31"/>
        <v>471438.72000000003</v>
      </c>
      <c r="R93" s="105">
        <f t="shared" si="31"/>
        <v>550323.17000000004</v>
      </c>
      <c r="S93" s="105">
        <f>S94+S95+S97+S102</f>
        <v>955468.02</v>
      </c>
      <c r="T93" s="105">
        <f>T94+T95+T97+T102</f>
        <v>681279.2</v>
      </c>
      <c r="U93" s="105">
        <f>U94+U95+U97+U102</f>
        <v>6554067.5499999989</v>
      </c>
      <c r="V93" s="202">
        <f t="shared" si="31"/>
        <v>3833234.4500000007</v>
      </c>
    </row>
    <row r="94" spans="1:24" ht="31.5" x14ac:dyDescent="0.25">
      <c r="A94" s="85">
        <v>2</v>
      </c>
      <c r="B94" s="85">
        <v>2</v>
      </c>
      <c r="C94" s="92">
        <v>8</v>
      </c>
      <c r="D94" s="85">
        <v>2</v>
      </c>
      <c r="E94" s="119"/>
      <c r="F94" s="127" t="s">
        <v>72</v>
      </c>
      <c r="G94" s="107">
        <v>102000</v>
      </c>
      <c r="H94" s="109">
        <v>5155.28</v>
      </c>
      <c r="I94" s="13" t="e">
        <f>+G94-#REF!</f>
        <v>#REF!</v>
      </c>
      <c r="J94" s="109">
        <v>4982.54</v>
      </c>
      <c r="K94" s="109">
        <v>5146.79</v>
      </c>
      <c r="L94" s="109">
        <v>6349.16</v>
      </c>
      <c r="M94" s="109">
        <v>6493.55</v>
      </c>
      <c r="N94" s="110">
        <v>10422.81</v>
      </c>
      <c r="O94" s="110">
        <f>120+6385.2</f>
        <v>6505.2</v>
      </c>
      <c r="P94" s="110">
        <f>120+7402.11</f>
        <v>7522.11</v>
      </c>
      <c r="Q94" s="110">
        <f>60+120+120+6811</f>
        <v>7111</v>
      </c>
      <c r="R94" s="110">
        <v>7194.27</v>
      </c>
      <c r="S94" s="110">
        <v>6587.14</v>
      </c>
      <c r="T94" s="110">
        <f>60+10863.28</f>
        <v>10923.28</v>
      </c>
      <c r="U94" s="103">
        <f>+H94+J94+K94+L94+M94+N94+O94+P94+Q94+R94+S94+T94</f>
        <v>84393.12999999999</v>
      </c>
      <c r="V94" s="208">
        <f>+G94-U94</f>
        <v>17606.87000000001</v>
      </c>
    </row>
    <row r="95" spans="1:24" ht="31.5" x14ac:dyDescent="0.25">
      <c r="A95" s="85">
        <v>2</v>
      </c>
      <c r="B95" s="85">
        <v>2</v>
      </c>
      <c r="C95" s="92">
        <v>8</v>
      </c>
      <c r="D95" s="85">
        <v>4</v>
      </c>
      <c r="E95" s="85"/>
      <c r="F95" s="127" t="s">
        <v>73</v>
      </c>
      <c r="G95" s="108">
        <v>0</v>
      </c>
      <c r="H95" s="110">
        <v>0</v>
      </c>
      <c r="I95" s="12">
        <v>0</v>
      </c>
      <c r="J95" s="110">
        <v>0</v>
      </c>
      <c r="K95" s="110"/>
      <c r="L95" s="110">
        <v>11800</v>
      </c>
      <c r="M95" s="110"/>
      <c r="N95" s="110"/>
      <c r="O95" s="110"/>
      <c r="P95" s="110"/>
      <c r="Q95" s="110"/>
      <c r="R95" s="110">
        <v>11800</v>
      </c>
      <c r="S95" s="110"/>
      <c r="T95" s="110"/>
      <c r="U95" s="103">
        <f>+H95+J95+K95+L95+M95+N95+O95+P95+Q95+R95+S95+T95</f>
        <v>23600</v>
      </c>
      <c r="V95" s="207">
        <f>+G95-U95</f>
        <v>-23600</v>
      </c>
    </row>
    <row r="96" spans="1:24" ht="15.75" x14ac:dyDescent="0.25">
      <c r="A96" s="85"/>
      <c r="B96" s="85"/>
      <c r="C96" s="92"/>
      <c r="D96" s="85"/>
      <c r="E96" s="85"/>
      <c r="F96" s="127"/>
      <c r="G96" s="108"/>
      <c r="H96" s="110"/>
      <c r="I96" s="12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207"/>
    </row>
    <row r="97" spans="1:24" ht="32.25" thickBot="1" x14ac:dyDescent="0.3">
      <c r="A97" s="85">
        <v>2</v>
      </c>
      <c r="B97" s="85">
        <v>2</v>
      </c>
      <c r="C97" s="92">
        <v>8</v>
      </c>
      <c r="D97" s="85">
        <v>6</v>
      </c>
      <c r="E97" s="93"/>
      <c r="F97" s="128" t="s">
        <v>74</v>
      </c>
      <c r="G97" s="125">
        <f t="shared" ref="G97:Q97" si="32">G98+G99</f>
        <v>4547575</v>
      </c>
      <c r="H97" s="117">
        <f t="shared" si="32"/>
        <v>0</v>
      </c>
      <c r="I97" s="19" t="e">
        <f t="shared" si="32"/>
        <v>#REF!</v>
      </c>
      <c r="J97" s="117">
        <f t="shared" si="32"/>
        <v>0</v>
      </c>
      <c r="K97" s="117">
        <f t="shared" si="32"/>
        <v>0</v>
      </c>
      <c r="L97" s="117">
        <f t="shared" si="32"/>
        <v>2555</v>
      </c>
      <c r="M97" s="117">
        <f t="shared" si="32"/>
        <v>20746.650000000001</v>
      </c>
      <c r="N97" s="117">
        <f t="shared" si="32"/>
        <v>0</v>
      </c>
      <c r="O97" s="117">
        <f t="shared" si="32"/>
        <v>30550</v>
      </c>
      <c r="P97" s="117">
        <f t="shared" si="32"/>
        <v>0</v>
      </c>
      <c r="Q97" s="117">
        <f t="shared" si="32"/>
        <v>2679.99</v>
      </c>
      <c r="R97" s="117">
        <f>R98+R99+R100</f>
        <v>89678.25</v>
      </c>
      <c r="S97" s="117">
        <f>S98+S99+S100</f>
        <v>133190.07</v>
      </c>
      <c r="T97" s="117">
        <f>T98+T99+T100</f>
        <v>230178.47</v>
      </c>
      <c r="U97" s="117">
        <f>U98+U99+U100</f>
        <v>509578.43</v>
      </c>
      <c r="V97" s="211">
        <f>V98+V99+V100</f>
        <v>4037996.57</v>
      </c>
    </row>
    <row r="98" spans="1:24" ht="15.75" x14ac:dyDescent="0.25">
      <c r="A98" s="85">
        <v>2</v>
      </c>
      <c r="B98" s="85">
        <v>2</v>
      </c>
      <c r="C98" s="92">
        <v>8</v>
      </c>
      <c r="D98" s="85">
        <v>6</v>
      </c>
      <c r="E98" s="85">
        <v>1</v>
      </c>
      <c r="F98" s="127" t="s">
        <v>75</v>
      </c>
      <c r="G98" s="236">
        <f>4472000-74425</f>
        <v>4397575</v>
      </c>
      <c r="H98" s="109">
        <v>0</v>
      </c>
      <c r="I98" s="12" t="e">
        <f>+G98-#REF!</f>
        <v>#REF!</v>
      </c>
      <c r="J98" s="109">
        <v>0</v>
      </c>
      <c r="K98" s="109"/>
      <c r="L98" s="109"/>
      <c r="M98" s="109"/>
      <c r="N98" s="110"/>
      <c r="O98" s="110"/>
      <c r="P98" s="110"/>
      <c r="Q98" s="110"/>
      <c r="R98" s="110"/>
      <c r="S98" s="110"/>
      <c r="T98" s="110"/>
      <c r="U98" s="103">
        <f>+H98+J98+K98+L98+M98+N98+O98+P98+Q98+R98+S98+T98</f>
        <v>0</v>
      </c>
      <c r="V98" s="207">
        <f>+G98-U98</f>
        <v>4397575</v>
      </c>
    </row>
    <row r="99" spans="1:24" ht="15.75" x14ac:dyDescent="0.25">
      <c r="A99" s="85">
        <v>2</v>
      </c>
      <c r="B99" s="85">
        <v>2</v>
      </c>
      <c r="C99" s="92">
        <v>8</v>
      </c>
      <c r="D99" s="85">
        <v>6</v>
      </c>
      <c r="E99" s="85">
        <v>2</v>
      </c>
      <c r="F99" s="127" t="s">
        <v>76</v>
      </c>
      <c r="G99" s="108">
        <v>150000</v>
      </c>
      <c r="H99" s="110"/>
      <c r="I99" s="12" t="e">
        <f>+G99-#REF!</f>
        <v>#REF!</v>
      </c>
      <c r="J99" s="110"/>
      <c r="K99" s="110"/>
      <c r="L99" s="110">
        <f>2175+380</f>
        <v>2555</v>
      </c>
      <c r="M99" s="110">
        <f>15620+529.95+1644.7+120+2832</f>
        <v>20746.650000000001</v>
      </c>
      <c r="N99" s="110"/>
      <c r="O99" s="110">
        <f>25900+400+4250</f>
        <v>30550</v>
      </c>
      <c r="P99" s="110"/>
      <c r="Q99" s="110">
        <f>1549.99+780+350</f>
        <v>2679.99</v>
      </c>
      <c r="R99" s="110">
        <f>1600+1600</f>
        <v>3200</v>
      </c>
      <c r="S99" s="110">
        <v>2150</v>
      </c>
      <c r="T99" s="110">
        <f>1000+1000+1000+1000+1000+1000+1000+1000+20000+10000+50000+1000+1000+1000+2000+3000+2000+29563.05+102615.42</f>
        <v>230178.47</v>
      </c>
      <c r="U99" s="103">
        <f>+H99+J99+K99+L99+M99+N99+O99+P99+Q99+R99+S99+T99</f>
        <v>292060.11</v>
      </c>
      <c r="V99" s="207">
        <f>+G99-U99</f>
        <v>-142060.10999999999</v>
      </c>
      <c r="W99" s="261"/>
    </row>
    <row r="100" spans="1:24" ht="15.75" x14ac:dyDescent="0.25">
      <c r="A100" s="85">
        <v>2</v>
      </c>
      <c r="B100" s="85">
        <v>2</v>
      </c>
      <c r="C100" s="92">
        <v>8</v>
      </c>
      <c r="D100" s="85">
        <v>6</v>
      </c>
      <c r="E100" s="85">
        <v>3</v>
      </c>
      <c r="F100" s="127" t="s">
        <v>154</v>
      </c>
      <c r="G100" s="108"/>
      <c r="H100" s="110"/>
      <c r="I100" s="12"/>
      <c r="J100" s="110"/>
      <c r="K100" s="110"/>
      <c r="L100" s="110"/>
      <c r="M100" s="110"/>
      <c r="N100" s="110"/>
      <c r="O100" s="110"/>
      <c r="P100" s="110"/>
      <c r="Q100" s="110"/>
      <c r="R100" s="110">
        <f>2100.05+800+53100+88.2+400+600+750+750+600+800+850+600+750+1100+600+600+750+21240</f>
        <v>86478.25</v>
      </c>
      <c r="S100" s="110">
        <v>131040.07</v>
      </c>
      <c r="T100" s="110"/>
      <c r="U100" s="103">
        <f>+H100+J100+K100+L100+M100+N100+O100+P100+Q100+R100+S100+T100</f>
        <v>217518.32</v>
      </c>
      <c r="V100" s="207">
        <f>+G100-U100</f>
        <v>-217518.32</v>
      </c>
      <c r="W100" s="261"/>
    </row>
    <row r="101" spans="1:24" ht="15.75" x14ac:dyDescent="0.25">
      <c r="A101" s="85"/>
      <c r="B101" s="85"/>
      <c r="C101" s="92"/>
      <c r="D101" s="85"/>
      <c r="E101" s="85"/>
      <c r="F101" s="127"/>
      <c r="G101" s="108"/>
      <c r="H101" s="110">
        <v>0</v>
      </c>
      <c r="I101" s="12">
        <v>0</v>
      </c>
      <c r="J101" s="110">
        <v>0</v>
      </c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207"/>
    </row>
    <row r="102" spans="1:24" ht="32.25" thickBot="1" x14ac:dyDescent="0.3">
      <c r="A102" s="85">
        <v>2</v>
      </c>
      <c r="B102" s="85">
        <v>2</v>
      </c>
      <c r="C102" s="92">
        <v>8</v>
      </c>
      <c r="D102" s="85">
        <v>7</v>
      </c>
      <c r="E102" s="93"/>
      <c r="F102" s="128" t="s">
        <v>77</v>
      </c>
      <c r="G102" s="129">
        <f t="shared" ref="G102:V102" si="33">G103+G104+G105+G106+G107</f>
        <v>5737727</v>
      </c>
      <c r="H102" s="118">
        <f t="shared" si="33"/>
        <v>251021.86</v>
      </c>
      <c r="I102" s="6" t="e">
        <f t="shared" si="33"/>
        <v>#REF!</v>
      </c>
      <c r="J102" s="118">
        <f t="shared" si="33"/>
        <v>431609.88</v>
      </c>
      <c r="K102" s="118">
        <f t="shared" si="33"/>
        <v>413750.07999999996</v>
      </c>
      <c r="L102" s="118">
        <f t="shared" si="33"/>
        <v>721344.99</v>
      </c>
      <c r="M102" s="118">
        <f t="shared" si="33"/>
        <v>531059.4</v>
      </c>
      <c r="N102" s="118">
        <f t="shared" si="33"/>
        <v>531510.94000000006</v>
      </c>
      <c r="O102" s="118">
        <f t="shared" si="33"/>
        <v>512108</v>
      </c>
      <c r="P102" s="118">
        <f t="shared" si="33"/>
        <v>384924.2</v>
      </c>
      <c r="Q102" s="118">
        <f t="shared" si="33"/>
        <v>461647.73000000004</v>
      </c>
      <c r="R102" s="118">
        <f t="shared" si="33"/>
        <v>441650.65</v>
      </c>
      <c r="S102" s="118">
        <f t="shared" si="33"/>
        <v>815690.81</v>
      </c>
      <c r="T102" s="118">
        <f t="shared" si="33"/>
        <v>440177.45</v>
      </c>
      <c r="U102" s="118">
        <f t="shared" si="33"/>
        <v>5936495.9899999993</v>
      </c>
      <c r="V102" s="202">
        <f t="shared" si="33"/>
        <v>-198768.98999999929</v>
      </c>
    </row>
    <row r="103" spans="1:24" ht="31.5" x14ac:dyDescent="0.25">
      <c r="A103" s="85">
        <v>2</v>
      </c>
      <c r="B103" s="85">
        <v>2</v>
      </c>
      <c r="C103" s="92">
        <v>8</v>
      </c>
      <c r="D103" s="85">
        <v>7</v>
      </c>
      <c r="E103" s="85">
        <v>1</v>
      </c>
      <c r="F103" s="106" t="s">
        <v>78</v>
      </c>
      <c r="G103" s="108">
        <f>1800000-69423</f>
        <v>1730577</v>
      </c>
      <c r="H103" s="110">
        <v>0</v>
      </c>
      <c r="I103" s="13" t="e">
        <f>+G103-#REF!</f>
        <v>#REF!</v>
      </c>
      <c r="J103" s="110">
        <v>0</v>
      </c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03">
        <f>+H103+J103+K103+L103+M103+N103+O103+P103+Q103+R103+S103+T103</f>
        <v>0</v>
      </c>
      <c r="V103" s="208">
        <f>+G103-U103</f>
        <v>1730577</v>
      </c>
    </row>
    <row r="104" spans="1:24" ht="31.5" x14ac:dyDescent="0.25">
      <c r="A104" s="85">
        <v>2</v>
      </c>
      <c r="B104" s="85">
        <v>2</v>
      </c>
      <c r="C104" s="92">
        <v>8</v>
      </c>
      <c r="D104" s="85">
        <v>7</v>
      </c>
      <c r="E104" s="119">
        <v>3</v>
      </c>
      <c r="F104" s="106" t="s">
        <v>79</v>
      </c>
      <c r="G104" s="108">
        <v>300000</v>
      </c>
      <c r="H104" s="110"/>
      <c r="I104" s="24" t="e">
        <f>+G104-#REF!</f>
        <v>#REF!</v>
      </c>
      <c r="J104" s="110"/>
      <c r="K104" s="110">
        <v>48000</v>
      </c>
      <c r="L104" s="110"/>
      <c r="M104" s="110">
        <v>192000</v>
      </c>
      <c r="N104" s="110"/>
      <c r="O104" s="110"/>
      <c r="P104" s="110"/>
      <c r="Q104" s="110"/>
      <c r="R104" s="110"/>
      <c r="S104" s="110"/>
      <c r="T104" s="110"/>
      <c r="U104" s="103">
        <f>+H104+J104+K104+L104+M104+N104+O104+P104+Q104+R104+S104+T104</f>
        <v>240000</v>
      </c>
      <c r="V104" s="214">
        <f>+G104-U104</f>
        <v>60000</v>
      </c>
    </row>
    <row r="105" spans="1:24" ht="15.75" x14ac:dyDescent="0.25">
      <c r="A105" s="85">
        <v>2</v>
      </c>
      <c r="B105" s="85">
        <v>2</v>
      </c>
      <c r="C105" s="92">
        <v>8</v>
      </c>
      <c r="D105" s="85">
        <v>7</v>
      </c>
      <c r="E105" s="85">
        <v>4</v>
      </c>
      <c r="F105" s="106" t="s">
        <v>80</v>
      </c>
      <c r="G105" s="108">
        <v>225000</v>
      </c>
      <c r="H105" s="110">
        <v>10000</v>
      </c>
      <c r="I105" s="24" t="e">
        <f>+G105-#REF!</f>
        <v>#REF!</v>
      </c>
      <c r="J105" s="110"/>
      <c r="K105" s="110">
        <v>5000</v>
      </c>
      <c r="L105" s="110">
        <v>16640</v>
      </c>
      <c r="M105" s="110">
        <v>11700</v>
      </c>
      <c r="N105" s="110"/>
      <c r="O105" s="110"/>
      <c r="P105" s="110">
        <v>14800</v>
      </c>
      <c r="Q105" s="110"/>
      <c r="R105" s="110"/>
      <c r="S105" s="110"/>
      <c r="T105" s="110">
        <v>15760</v>
      </c>
      <c r="U105" s="103">
        <f>+H105+J105+K105+L105+M105+N105+O105+P105+Q105+R105+S105+T105</f>
        <v>73900</v>
      </c>
      <c r="V105" s="214">
        <f>+G105-U105</f>
        <v>151100</v>
      </c>
    </row>
    <row r="106" spans="1:24" ht="31.5" x14ac:dyDescent="0.25">
      <c r="A106" s="85">
        <v>2</v>
      </c>
      <c r="B106" s="85">
        <v>2</v>
      </c>
      <c r="C106" s="92">
        <v>8</v>
      </c>
      <c r="D106" s="85">
        <v>7</v>
      </c>
      <c r="E106" s="85">
        <v>5</v>
      </c>
      <c r="F106" s="106" t="s">
        <v>81</v>
      </c>
      <c r="G106" s="108">
        <v>494750</v>
      </c>
      <c r="H106" s="110">
        <v>3233.36</v>
      </c>
      <c r="I106" s="24" t="e">
        <f>+G106-#REF!</f>
        <v>#REF!</v>
      </c>
      <c r="J106" s="110"/>
      <c r="K106" s="110">
        <v>5655.28</v>
      </c>
      <c r="L106" s="110">
        <v>51829.599999999999</v>
      </c>
      <c r="M106" s="110">
        <v>4770.8999999999996</v>
      </c>
      <c r="N106" s="110">
        <v>4811.3999999999996</v>
      </c>
      <c r="O106" s="110">
        <f>4819.5</f>
        <v>4819.5</v>
      </c>
      <c r="P106" s="110">
        <v>4835.7</v>
      </c>
      <c r="Q106" s="110">
        <v>4855.95</v>
      </c>
      <c r="R106" s="110">
        <v>4872.1499999999996</v>
      </c>
      <c r="S106" s="110">
        <f>11788.51+5248.8</f>
        <v>17037.310000000001</v>
      </c>
      <c r="T106" s="110">
        <f>5248.8+45472.36+2498.95+5266.08</f>
        <v>58486.19</v>
      </c>
      <c r="U106" s="103">
        <f>+H106+J106+K106+L106+M106+N106+O106+P106+Q106+R106+S106+T106</f>
        <v>165207.33999999997</v>
      </c>
      <c r="V106" s="214">
        <f>+G106-U106</f>
        <v>329542.66000000003</v>
      </c>
      <c r="W106" s="261"/>
    </row>
    <row r="107" spans="1:24" ht="31.5" x14ac:dyDescent="0.25">
      <c r="A107" s="85">
        <v>2</v>
      </c>
      <c r="B107" s="85">
        <v>2</v>
      </c>
      <c r="C107" s="92">
        <v>8</v>
      </c>
      <c r="D107" s="85">
        <v>7</v>
      </c>
      <c r="E107" s="85">
        <v>6</v>
      </c>
      <c r="F107" s="106" t="s">
        <v>82</v>
      </c>
      <c r="G107" s="108">
        <v>2987400</v>
      </c>
      <c r="H107" s="110">
        <f>38200+11800+43563+144225.5</f>
        <v>237788.5</v>
      </c>
      <c r="I107" s="24" t="e">
        <f>+G107-#REF!</f>
        <v>#REF!</v>
      </c>
      <c r="J107" s="110">
        <f>12000+21240+177541.38+11800+144225.5+43563+21240</f>
        <v>431609.88</v>
      </c>
      <c r="K107" s="110">
        <f>10620+26886.3+118000+11800+144225.5+43563</f>
        <v>355094.8</v>
      </c>
      <c r="L107" s="110">
        <f>29500+110963.37+6608+42480+90935.52+144225.5+11800+118000+43563+54800</f>
        <v>652875.39</v>
      </c>
      <c r="M107" s="110">
        <f>5000+43563+144225.5+118000+11800</f>
        <v>322588.5</v>
      </c>
      <c r="N107" s="110">
        <f>11800+118000+43563+5000+181871.04+144225.5+1000+21240</f>
        <v>526699.54</v>
      </c>
      <c r="O107" s="110">
        <f>31350+14750+144225.5+11800+118000+1000+1000+43563+141600</f>
        <v>507288.5</v>
      </c>
      <c r="P107" s="110">
        <f>8250+6750+10500+8000+13000+43563+144225.5+300+300+300+300+118000+11800</f>
        <v>365288.5</v>
      </c>
      <c r="Q107" s="110">
        <f>43563+136403.28+118000+11800+144225.5+2800</f>
        <v>456791.78</v>
      </c>
      <c r="R107" s="110">
        <f>500+500+144225.5+11800+118000+14750+21240+43563+35400+35000+11800</f>
        <v>436778.5</v>
      </c>
      <c r="S107" s="110">
        <f>31485+43563+144225.5+118000+21240+11800+3540+424800</f>
        <v>798653.5</v>
      </c>
      <c r="T107" s="110">
        <f>118000+11800+45467.76+1875+43563+144225.5+1000</f>
        <v>365931.26</v>
      </c>
      <c r="U107" s="103">
        <f>+H107+J107+K107+L107+M107+N107+O107+P107+Q107+R107+S107+T107</f>
        <v>5457388.6499999994</v>
      </c>
      <c r="V107" s="214">
        <f>+G107-U107</f>
        <v>-2469988.6499999994</v>
      </c>
      <c r="W107" s="23"/>
      <c r="X107" s="261"/>
    </row>
    <row r="108" spans="1:24" ht="16.5" thickBot="1" x14ac:dyDescent="0.3">
      <c r="A108" s="85"/>
      <c r="B108" s="85"/>
      <c r="C108" s="92"/>
      <c r="D108" s="85"/>
      <c r="E108" s="85"/>
      <c r="F108" s="106"/>
      <c r="G108" s="111"/>
      <c r="H108" s="117"/>
      <c r="I108" s="19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211"/>
      <c r="W108" s="261"/>
      <c r="X108" s="23"/>
    </row>
    <row r="109" spans="1:24" ht="32.25" thickBot="1" x14ac:dyDescent="0.3">
      <c r="A109" s="85">
        <v>2</v>
      </c>
      <c r="B109" s="85">
        <v>2</v>
      </c>
      <c r="C109" s="92">
        <v>9</v>
      </c>
      <c r="D109" s="85"/>
      <c r="E109" s="85"/>
      <c r="F109" s="104" t="s">
        <v>83</v>
      </c>
      <c r="G109" s="100">
        <f>G110+G111</f>
        <v>385000</v>
      </c>
      <c r="H109" s="168">
        <f t="shared" ref="H109:V109" si="34">H110+H111</f>
        <v>33893.49</v>
      </c>
      <c r="I109" s="25" t="e">
        <f t="shared" si="34"/>
        <v>#REF!</v>
      </c>
      <c r="J109" s="168">
        <f t="shared" si="34"/>
        <v>47097.1</v>
      </c>
      <c r="K109" s="168">
        <f t="shared" si="34"/>
        <v>15197.85</v>
      </c>
      <c r="L109" s="168">
        <f t="shared" si="34"/>
        <v>103340.88</v>
      </c>
      <c r="M109" s="168">
        <f t="shared" si="34"/>
        <v>5899.8</v>
      </c>
      <c r="N109" s="168">
        <f t="shared" si="34"/>
        <v>87945</v>
      </c>
      <c r="O109" s="168">
        <f t="shared" si="34"/>
        <v>11356</v>
      </c>
      <c r="P109" s="168">
        <f t="shared" si="34"/>
        <v>8297.65</v>
      </c>
      <c r="Q109" s="168">
        <f t="shared" si="34"/>
        <v>3846.9</v>
      </c>
      <c r="R109" s="168">
        <f t="shared" si="34"/>
        <v>76502.5</v>
      </c>
      <c r="S109" s="168">
        <f t="shared" si="34"/>
        <v>29509.03</v>
      </c>
      <c r="T109" s="168">
        <f t="shared" si="34"/>
        <v>2728.85</v>
      </c>
      <c r="U109" s="168">
        <f t="shared" si="34"/>
        <v>425615.05000000005</v>
      </c>
      <c r="V109" s="215">
        <f t="shared" si="34"/>
        <v>-40615.050000000047</v>
      </c>
      <c r="W109" s="11"/>
    </row>
    <row r="110" spans="1:24" ht="16.5" thickBot="1" x14ac:dyDescent="0.3">
      <c r="A110" s="85">
        <v>2</v>
      </c>
      <c r="B110" s="85">
        <v>2</v>
      </c>
      <c r="C110" s="92">
        <v>9</v>
      </c>
      <c r="D110" s="85">
        <v>2</v>
      </c>
      <c r="E110" s="85"/>
      <c r="F110" s="127" t="s">
        <v>84</v>
      </c>
      <c r="G110" s="97"/>
      <c r="H110" s="130"/>
      <c r="I110" s="26" t="e">
        <f>+G110-#REF!</f>
        <v>#REF!</v>
      </c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216"/>
    </row>
    <row r="111" spans="1:24" ht="15.75" x14ac:dyDescent="0.25">
      <c r="A111" s="85">
        <v>2</v>
      </c>
      <c r="B111" s="85">
        <v>2</v>
      </c>
      <c r="C111" s="92">
        <v>9</v>
      </c>
      <c r="D111" s="85">
        <v>2</v>
      </c>
      <c r="E111" s="85">
        <v>1</v>
      </c>
      <c r="F111" s="106" t="s">
        <v>84</v>
      </c>
      <c r="G111" s="108">
        <v>385000</v>
      </c>
      <c r="H111" s="110">
        <f>2066.99+300+175+300+275+175+300+300+30001.5</f>
        <v>33893.49</v>
      </c>
      <c r="I111" s="12" t="e">
        <f>+G111-#REF!</f>
        <v>#REF!</v>
      </c>
      <c r="J111" s="110">
        <f>300+175+145+791.7+400+470+750+475+400+100+265+12823.9+30001.5</f>
        <v>47097.1</v>
      </c>
      <c r="K111" s="110">
        <f>3872+8791+375+245+300+759.85+300+80+475</f>
        <v>15197.85</v>
      </c>
      <c r="L111" s="110">
        <f>9513.6+315+400+315+175+315+1087.28+315+350+385+89680+315+175</f>
        <v>103340.88</v>
      </c>
      <c r="M111" s="110">
        <f>639.8+175+315+310+300+485+475+300+2900</f>
        <v>5899.8</v>
      </c>
      <c r="N111" s="110">
        <f>84075+380+2210+300+300+300+380</f>
        <v>87945</v>
      </c>
      <c r="O111" s="110">
        <f>175+410+200+8850+100+300+300+364+175+272+204+6</f>
        <v>11356</v>
      </c>
      <c r="P111" s="110">
        <f>575+255+4130+175+204+340+175+255+500+300+175+1213.65</f>
        <v>8297.65</v>
      </c>
      <c r="Q111" s="110">
        <f>200+419.9+275+205+500+408+270+175+420+175+340+204+255</f>
        <v>3846.9</v>
      </c>
      <c r="R111" s="110">
        <f>340+500+275+935+1425+408+90+175+408+70888.5+300+408+350</f>
        <v>76502.5</v>
      </c>
      <c r="S111" s="110">
        <f>879.75+27033.28+272+350+340+204+255+175</f>
        <v>29509.03</v>
      </c>
      <c r="T111" s="110">
        <f>1298.85+275+500+340+315</f>
        <v>2728.85</v>
      </c>
      <c r="U111" s="103">
        <f>+H111+J111+K111+L111+M111+N111+O111+P111+Q111+R111+S111+T111</f>
        <v>425615.05000000005</v>
      </c>
      <c r="V111" s="207">
        <f>+G111-U111</f>
        <v>-40615.050000000047</v>
      </c>
      <c r="W111" s="261"/>
      <c r="X111" s="261"/>
    </row>
    <row r="112" spans="1:24" ht="15.75" x14ac:dyDescent="0.25">
      <c r="A112" s="85"/>
      <c r="B112" s="85"/>
      <c r="C112" s="92"/>
      <c r="D112" s="85"/>
      <c r="E112" s="85"/>
      <c r="F112" s="106"/>
      <c r="G112" s="108"/>
      <c r="H112" s="110"/>
      <c r="I112" s="12"/>
      <c r="J112" s="110"/>
      <c r="K112" s="110"/>
      <c r="L112" s="110"/>
      <c r="M112" s="110"/>
      <c r="N112" s="110"/>
      <c r="O112" s="110"/>
      <c r="P112" s="110"/>
      <c r="Q112" s="110" t="s">
        <v>151</v>
      </c>
      <c r="R112" s="110"/>
      <c r="S112" s="110"/>
      <c r="T112" s="110"/>
      <c r="U112" s="110"/>
      <c r="V112" s="207"/>
    </row>
    <row r="113" spans="1:22" ht="16.5" thickBot="1" x14ac:dyDescent="0.3">
      <c r="A113" s="85">
        <v>2</v>
      </c>
      <c r="B113" s="85">
        <v>3</v>
      </c>
      <c r="C113" s="92"/>
      <c r="D113" s="85"/>
      <c r="E113" s="93"/>
      <c r="F113" s="104" t="s">
        <v>85</v>
      </c>
      <c r="G113" s="95">
        <f>G114+G118+G121+G127+G131+G139</f>
        <v>1501221.5</v>
      </c>
      <c r="H113" s="165">
        <f>H114+H118+H121+H127+H131+H139</f>
        <v>85512.01</v>
      </c>
      <c r="I113" s="165" t="e">
        <f t="shared" ref="I113:V113" si="35">I114+I118+I121+I127+I131+I139</f>
        <v>#REF!</v>
      </c>
      <c r="J113" s="165">
        <f t="shared" si="35"/>
        <v>77786.3</v>
      </c>
      <c r="K113" s="165">
        <f t="shared" si="35"/>
        <v>60480</v>
      </c>
      <c r="L113" s="165">
        <f t="shared" si="35"/>
        <v>127356.73999999999</v>
      </c>
      <c r="M113" s="165">
        <f t="shared" si="35"/>
        <v>91216.950000000012</v>
      </c>
      <c r="N113" s="165">
        <f t="shared" si="35"/>
        <v>747.85</v>
      </c>
      <c r="O113" s="165">
        <f t="shared" si="35"/>
        <v>309611.44999999995</v>
      </c>
      <c r="P113" s="165">
        <f t="shared" si="35"/>
        <v>9953.2999999999993</v>
      </c>
      <c r="Q113" s="165">
        <f t="shared" si="35"/>
        <v>12639.55</v>
      </c>
      <c r="R113" s="165">
        <f t="shared" si="35"/>
        <v>350852.53</v>
      </c>
      <c r="S113" s="165">
        <f t="shared" si="35"/>
        <v>0</v>
      </c>
      <c r="T113" s="165">
        <f t="shared" si="35"/>
        <v>408172.86</v>
      </c>
      <c r="U113" s="165">
        <f t="shared" si="35"/>
        <v>1534329.5399999998</v>
      </c>
      <c r="V113" s="201">
        <f t="shared" si="35"/>
        <v>-33108.039999999863</v>
      </c>
    </row>
    <row r="114" spans="1:22" ht="32.25" thickBot="1" x14ac:dyDescent="0.3">
      <c r="A114" s="85">
        <v>2</v>
      </c>
      <c r="B114" s="85">
        <v>3</v>
      </c>
      <c r="C114" s="92">
        <v>1</v>
      </c>
      <c r="D114" s="85"/>
      <c r="E114" s="93"/>
      <c r="F114" s="131" t="s">
        <v>86</v>
      </c>
      <c r="G114" s="112">
        <f t="shared" ref="G114:T114" si="36">G115</f>
        <v>0</v>
      </c>
      <c r="H114" s="113">
        <f t="shared" si="36"/>
        <v>0</v>
      </c>
      <c r="I114" s="15">
        <f t="shared" si="36"/>
        <v>0</v>
      </c>
      <c r="J114" s="113">
        <f t="shared" si="36"/>
        <v>0</v>
      </c>
      <c r="K114" s="113">
        <f t="shared" si="36"/>
        <v>0</v>
      </c>
      <c r="L114" s="113">
        <f t="shared" si="36"/>
        <v>0</v>
      </c>
      <c r="M114" s="113">
        <f t="shared" si="36"/>
        <v>0</v>
      </c>
      <c r="N114" s="113">
        <f t="shared" si="36"/>
        <v>0</v>
      </c>
      <c r="O114" s="113">
        <f t="shared" si="36"/>
        <v>0</v>
      </c>
      <c r="P114" s="113">
        <f t="shared" si="36"/>
        <v>0</v>
      </c>
      <c r="Q114" s="113">
        <f t="shared" si="36"/>
        <v>0</v>
      </c>
      <c r="R114" s="113">
        <f t="shared" si="36"/>
        <v>0</v>
      </c>
      <c r="S114" s="113">
        <f t="shared" si="36"/>
        <v>0</v>
      </c>
      <c r="T114" s="113">
        <f t="shared" si="36"/>
        <v>0</v>
      </c>
      <c r="U114" s="113">
        <f>U115</f>
        <v>0</v>
      </c>
      <c r="V114" s="209">
        <f>V115</f>
        <v>0</v>
      </c>
    </row>
    <row r="115" spans="1:22" ht="31.5" x14ac:dyDescent="0.25">
      <c r="A115" s="85">
        <v>2</v>
      </c>
      <c r="B115" s="85">
        <v>3</v>
      </c>
      <c r="C115" s="92">
        <v>1</v>
      </c>
      <c r="D115" s="85">
        <v>1</v>
      </c>
      <c r="E115" s="93"/>
      <c r="F115" s="132" t="s">
        <v>87</v>
      </c>
      <c r="G115" s="108">
        <f>G116</f>
        <v>0</v>
      </c>
      <c r="H115" s="103"/>
      <c r="I115" s="9"/>
      <c r="J115" s="103"/>
      <c r="K115" s="103"/>
      <c r="L115" s="103"/>
      <c r="M115" s="103"/>
      <c r="N115" s="182"/>
      <c r="O115" s="182"/>
      <c r="P115" s="182"/>
      <c r="Q115" s="182"/>
      <c r="R115" s="182"/>
      <c r="S115" s="182"/>
      <c r="T115" s="182"/>
      <c r="U115" s="182">
        <f>+H115+Q115+J115+K115+L115+M115+N115+O115+P115+R115+S115+T115</f>
        <v>0</v>
      </c>
      <c r="V115" s="260">
        <f>+G115-U115</f>
        <v>0</v>
      </c>
    </row>
    <row r="116" spans="1:22" ht="31.5" x14ac:dyDescent="0.25">
      <c r="A116" s="85">
        <v>2</v>
      </c>
      <c r="B116" s="85">
        <v>3</v>
      </c>
      <c r="C116" s="92">
        <v>1</v>
      </c>
      <c r="D116" s="85">
        <v>1</v>
      </c>
      <c r="E116" s="93">
        <v>1</v>
      </c>
      <c r="F116" s="132" t="s">
        <v>87</v>
      </c>
      <c r="G116" s="108"/>
      <c r="H116" s="110">
        <v>0</v>
      </c>
      <c r="I116" s="12">
        <v>0</v>
      </c>
      <c r="J116" s="110">
        <v>0</v>
      </c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03">
        <f>+H116+J116+K116+L116+M116+N116+O116+P116+Q116+R116+S116+T116</f>
        <v>0</v>
      </c>
      <c r="V116" s="214">
        <f>+G116-U116</f>
        <v>0</v>
      </c>
    </row>
    <row r="117" spans="1:22" ht="15.75" x14ac:dyDescent="0.25">
      <c r="A117" s="85"/>
      <c r="B117" s="85"/>
      <c r="C117" s="92"/>
      <c r="D117" s="85"/>
      <c r="E117" s="93"/>
      <c r="F117" s="131"/>
      <c r="G117" s="108"/>
      <c r="H117" s="110"/>
      <c r="I117" s="12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207"/>
    </row>
    <row r="118" spans="1:22" ht="16.5" thickBot="1" x14ac:dyDescent="0.3">
      <c r="A118" s="85">
        <v>2</v>
      </c>
      <c r="B118" s="85">
        <v>3</v>
      </c>
      <c r="C118" s="92">
        <v>2</v>
      </c>
      <c r="D118" s="85"/>
      <c r="E118" s="93"/>
      <c r="F118" s="131" t="s">
        <v>88</v>
      </c>
      <c r="G118" s="108"/>
      <c r="H118" s="110">
        <f t="shared" ref="H118:V118" si="37">H119</f>
        <v>0</v>
      </c>
      <c r="I118" s="12">
        <f t="shared" si="37"/>
        <v>0</v>
      </c>
      <c r="J118" s="110">
        <f t="shared" si="37"/>
        <v>0</v>
      </c>
      <c r="K118" s="110">
        <f t="shared" si="37"/>
        <v>0</v>
      </c>
      <c r="L118" s="110">
        <f t="shared" si="37"/>
        <v>0</v>
      </c>
      <c r="M118" s="110">
        <f t="shared" si="37"/>
        <v>0</v>
      </c>
      <c r="N118" s="117">
        <f t="shared" si="37"/>
        <v>0</v>
      </c>
      <c r="O118" s="117">
        <f t="shared" si="37"/>
        <v>0</v>
      </c>
      <c r="P118" s="117">
        <f t="shared" si="37"/>
        <v>0</v>
      </c>
      <c r="Q118" s="117">
        <f t="shared" si="37"/>
        <v>0</v>
      </c>
      <c r="R118" s="117">
        <f t="shared" si="37"/>
        <v>0</v>
      </c>
      <c r="S118" s="117">
        <f t="shared" si="37"/>
        <v>0</v>
      </c>
      <c r="T118" s="117">
        <f t="shared" si="37"/>
        <v>0</v>
      </c>
      <c r="U118" s="117">
        <f t="shared" si="37"/>
        <v>0</v>
      </c>
      <c r="V118" s="211">
        <f t="shared" si="37"/>
        <v>0</v>
      </c>
    </row>
    <row r="119" spans="1:22" ht="15.75" x14ac:dyDescent="0.25">
      <c r="A119" s="85">
        <v>2</v>
      </c>
      <c r="B119" s="85">
        <v>3</v>
      </c>
      <c r="C119" s="92">
        <v>2</v>
      </c>
      <c r="D119" s="85">
        <v>3</v>
      </c>
      <c r="E119" s="93"/>
      <c r="F119" s="132" t="s">
        <v>89</v>
      </c>
      <c r="G119" s="107"/>
      <c r="H119" s="109">
        <v>0</v>
      </c>
      <c r="I119" s="13">
        <v>0</v>
      </c>
      <c r="J119" s="109">
        <v>0</v>
      </c>
      <c r="K119" s="109"/>
      <c r="L119" s="109"/>
      <c r="M119" s="109"/>
      <c r="N119" s="110"/>
      <c r="O119" s="110"/>
      <c r="P119" s="110"/>
      <c r="Q119" s="110"/>
      <c r="R119" s="110"/>
      <c r="S119" s="110"/>
      <c r="T119" s="110"/>
      <c r="U119" s="103">
        <f>+H119+J119+K119+L119+M119+N119+O119+P119+Q119+R119+S119+T119</f>
        <v>0</v>
      </c>
      <c r="V119" s="214">
        <f>+G119-U119</f>
        <v>0</v>
      </c>
    </row>
    <row r="120" spans="1:22" s="17" customFormat="1" ht="15.75" x14ac:dyDescent="0.25">
      <c r="A120" s="85"/>
      <c r="B120" s="85"/>
      <c r="C120" s="92"/>
      <c r="D120" s="85"/>
      <c r="E120" s="93"/>
      <c r="F120" s="131"/>
      <c r="G120" s="108"/>
      <c r="H120" s="103"/>
      <c r="I120" s="9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205"/>
    </row>
    <row r="121" spans="1:22" ht="32.25" thickBot="1" x14ac:dyDescent="0.3">
      <c r="A121" s="85">
        <v>2</v>
      </c>
      <c r="B121" s="115">
        <v>3</v>
      </c>
      <c r="C121" s="116">
        <v>3</v>
      </c>
      <c r="D121" s="93"/>
      <c r="E121" s="93"/>
      <c r="F121" s="104" t="s">
        <v>90</v>
      </c>
      <c r="G121" s="95">
        <f t="shared" ref="G121:V121" si="38">G122+G123+G124+G125</f>
        <v>101500</v>
      </c>
      <c r="H121" s="105">
        <f t="shared" si="38"/>
        <v>0</v>
      </c>
      <c r="I121" s="10" t="e">
        <f t="shared" si="38"/>
        <v>#REF!</v>
      </c>
      <c r="J121" s="105">
        <f t="shared" si="38"/>
        <v>708</v>
      </c>
      <c r="K121" s="105">
        <f t="shared" si="38"/>
        <v>0</v>
      </c>
      <c r="L121" s="105">
        <f t="shared" si="38"/>
        <v>0</v>
      </c>
      <c r="M121" s="105">
        <f t="shared" si="38"/>
        <v>0</v>
      </c>
      <c r="N121" s="105">
        <f t="shared" si="38"/>
        <v>0</v>
      </c>
      <c r="O121" s="105">
        <f t="shared" si="38"/>
        <v>0</v>
      </c>
      <c r="P121" s="105">
        <f t="shared" si="38"/>
        <v>0</v>
      </c>
      <c r="Q121" s="105">
        <f t="shared" si="38"/>
        <v>0</v>
      </c>
      <c r="R121" s="105">
        <f t="shared" si="38"/>
        <v>0</v>
      </c>
      <c r="S121" s="105">
        <f>S122+S123+S124+S125</f>
        <v>0</v>
      </c>
      <c r="T121" s="105">
        <f>T122+T123+T124+T125</f>
        <v>0</v>
      </c>
      <c r="U121" s="105">
        <f t="shared" si="38"/>
        <v>708</v>
      </c>
      <c r="V121" s="202">
        <f t="shared" si="38"/>
        <v>100792</v>
      </c>
    </row>
    <row r="122" spans="1:22" ht="15.75" x14ac:dyDescent="0.25">
      <c r="A122" s="85">
        <v>2</v>
      </c>
      <c r="B122" s="85">
        <v>3</v>
      </c>
      <c r="C122" s="92">
        <v>3</v>
      </c>
      <c r="D122" s="85">
        <v>1</v>
      </c>
      <c r="E122" s="85"/>
      <c r="F122" s="127" t="s">
        <v>91</v>
      </c>
      <c r="G122" s="107">
        <v>68000</v>
      </c>
      <c r="H122" s="109"/>
      <c r="I122" s="12" t="e">
        <f>+G122-#REF!</f>
        <v>#REF!</v>
      </c>
      <c r="J122" s="109"/>
      <c r="K122" s="109"/>
      <c r="L122" s="109"/>
      <c r="M122" s="109"/>
      <c r="N122" s="183"/>
      <c r="O122" s="183"/>
      <c r="P122" s="183"/>
      <c r="Q122" s="183"/>
      <c r="R122" s="183"/>
      <c r="S122" s="183"/>
      <c r="T122" s="183"/>
      <c r="U122" s="103">
        <f>+H122+J122+K122+L122+M122+N122+O122+P122+Q122+R122+S122+T122</f>
        <v>0</v>
      </c>
      <c r="V122" s="230">
        <f>+G122-U122</f>
        <v>68000</v>
      </c>
    </row>
    <row r="123" spans="1:22" ht="15.75" x14ac:dyDescent="0.25">
      <c r="A123" s="85">
        <v>2</v>
      </c>
      <c r="B123" s="85">
        <v>3</v>
      </c>
      <c r="C123" s="92">
        <v>3</v>
      </c>
      <c r="D123" s="85">
        <v>2</v>
      </c>
      <c r="E123" s="85"/>
      <c r="F123" s="127" t="s">
        <v>92</v>
      </c>
      <c r="G123" s="108">
        <v>23000</v>
      </c>
      <c r="H123" s="110">
        <v>0</v>
      </c>
      <c r="I123" s="12" t="e">
        <f>+G123-#REF!</f>
        <v>#REF!</v>
      </c>
      <c r="J123" s="110">
        <v>0</v>
      </c>
      <c r="K123" s="110"/>
      <c r="L123" s="110"/>
      <c r="M123" s="110"/>
      <c r="N123" s="183"/>
      <c r="O123" s="183"/>
      <c r="P123" s="183"/>
      <c r="Q123" s="183"/>
      <c r="R123" s="183"/>
      <c r="S123" s="183"/>
      <c r="T123" s="183"/>
      <c r="U123" s="103">
        <f>+H123+J123+K123+L123+M123+N123+O123+P123+Q123+R123+S123+T123</f>
        <v>0</v>
      </c>
      <c r="V123" s="231">
        <f>+G123-U123</f>
        <v>23000</v>
      </c>
    </row>
    <row r="124" spans="1:22" ht="15.75" x14ac:dyDescent="0.25">
      <c r="A124" s="85">
        <v>2</v>
      </c>
      <c r="B124" s="85">
        <v>3</v>
      </c>
      <c r="C124" s="92">
        <v>3</v>
      </c>
      <c r="D124" s="85">
        <v>3</v>
      </c>
      <c r="E124" s="85"/>
      <c r="F124" s="127" t="s">
        <v>93</v>
      </c>
      <c r="G124" s="108">
        <v>0</v>
      </c>
      <c r="H124" s="110">
        <v>0</v>
      </c>
      <c r="I124" s="12">
        <v>0</v>
      </c>
      <c r="J124" s="110">
        <v>708</v>
      </c>
      <c r="K124" s="110"/>
      <c r="L124" s="110"/>
      <c r="M124" s="110"/>
      <c r="N124" s="183"/>
      <c r="O124" s="183"/>
      <c r="P124" s="183"/>
      <c r="Q124" s="183"/>
      <c r="R124" s="183"/>
      <c r="S124" s="183"/>
      <c r="T124" s="183"/>
      <c r="U124" s="103">
        <f>+H124+J124+K124+L124+M124+N124+O124+P124+Q124+R124+S124+T124</f>
        <v>708</v>
      </c>
      <c r="V124" s="231">
        <f>+G124-U124</f>
        <v>-708</v>
      </c>
    </row>
    <row r="125" spans="1:22" ht="15.75" x14ac:dyDescent="0.25">
      <c r="A125" s="85">
        <v>2</v>
      </c>
      <c r="B125" s="85">
        <v>3</v>
      </c>
      <c r="C125" s="92">
        <v>3</v>
      </c>
      <c r="D125" s="85">
        <v>4</v>
      </c>
      <c r="E125" s="85"/>
      <c r="F125" s="127" t="s">
        <v>94</v>
      </c>
      <c r="G125" s="108">
        <v>10500</v>
      </c>
      <c r="H125" s="110"/>
      <c r="I125" s="12" t="e">
        <f>+G125-#REF!</f>
        <v>#REF!</v>
      </c>
      <c r="J125" s="110"/>
      <c r="K125" s="110"/>
      <c r="L125" s="110"/>
      <c r="M125" s="110"/>
      <c r="N125" s="183"/>
      <c r="O125" s="183"/>
      <c r="P125" s="183"/>
      <c r="Q125" s="183"/>
      <c r="R125" s="183"/>
      <c r="S125" s="183"/>
      <c r="T125" s="183"/>
      <c r="U125" s="103">
        <f t="shared" ref="U125:U126" si="39">+H125+J125+K125+L125+M125+N125+O125+P125+Q125+R125+S125+T125</f>
        <v>0</v>
      </c>
      <c r="V125" s="231">
        <f>+G125-U125</f>
        <v>10500</v>
      </c>
    </row>
    <row r="126" spans="1:22" s="28" customFormat="1" ht="16.5" thickBot="1" x14ac:dyDescent="0.3">
      <c r="A126" s="85"/>
      <c r="B126" s="85"/>
      <c r="C126" s="92"/>
      <c r="D126" s="85"/>
      <c r="E126" s="85"/>
      <c r="F126" s="127"/>
      <c r="G126" s="108"/>
      <c r="H126" s="110"/>
      <c r="I126" s="12"/>
      <c r="J126" s="110"/>
      <c r="K126" s="110"/>
      <c r="L126" s="110"/>
      <c r="M126" s="110"/>
      <c r="N126" s="183"/>
      <c r="O126" s="183"/>
      <c r="P126" s="183"/>
      <c r="Q126" s="183"/>
      <c r="R126" s="183"/>
      <c r="S126" s="183"/>
      <c r="T126" s="183"/>
      <c r="U126" s="103">
        <f t="shared" si="39"/>
        <v>0</v>
      </c>
      <c r="V126" s="231">
        <f>+G126-U126</f>
        <v>0</v>
      </c>
    </row>
    <row r="127" spans="1:22" s="28" customFormat="1" ht="48" thickBot="1" x14ac:dyDescent="0.3">
      <c r="A127" s="93">
        <v>2</v>
      </c>
      <c r="B127" s="93">
        <v>3</v>
      </c>
      <c r="C127" s="133">
        <v>7</v>
      </c>
      <c r="D127" s="93"/>
      <c r="E127" s="93"/>
      <c r="F127" s="128" t="s">
        <v>95</v>
      </c>
      <c r="G127" s="95">
        <f t="shared" ref="G127:V128" si="40">G128</f>
        <v>804051.5</v>
      </c>
      <c r="H127" s="117">
        <f t="shared" si="40"/>
        <v>0</v>
      </c>
      <c r="I127" s="16" t="e">
        <f t="shared" si="40"/>
        <v>#REF!</v>
      </c>
      <c r="J127" s="117">
        <f t="shared" si="40"/>
        <v>0</v>
      </c>
      <c r="K127" s="117">
        <f t="shared" si="40"/>
        <v>60000</v>
      </c>
      <c r="L127" s="117">
        <f t="shared" si="40"/>
        <v>0</v>
      </c>
      <c r="M127" s="117">
        <f t="shared" si="40"/>
        <v>0</v>
      </c>
      <c r="N127" s="117">
        <f t="shared" si="40"/>
        <v>0</v>
      </c>
      <c r="O127" s="117">
        <f t="shared" si="40"/>
        <v>0</v>
      </c>
      <c r="P127" s="117">
        <f t="shared" si="40"/>
        <v>0</v>
      </c>
      <c r="Q127" s="117">
        <f t="shared" si="40"/>
        <v>0</v>
      </c>
      <c r="R127" s="117">
        <f t="shared" si="40"/>
        <v>102000</v>
      </c>
      <c r="S127" s="117">
        <f>S128</f>
        <v>0</v>
      </c>
      <c r="T127" s="117">
        <f>T128</f>
        <v>0</v>
      </c>
      <c r="U127" s="117">
        <f t="shared" si="40"/>
        <v>162000</v>
      </c>
      <c r="V127" s="232">
        <f t="shared" si="40"/>
        <v>642051.5</v>
      </c>
    </row>
    <row r="128" spans="1:22" s="29" customFormat="1" ht="16.5" thickBot="1" x14ac:dyDescent="0.3">
      <c r="A128" s="93">
        <v>2</v>
      </c>
      <c r="B128" s="93">
        <v>3</v>
      </c>
      <c r="C128" s="133">
        <v>7</v>
      </c>
      <c r="D128" s="93">
        <v>1</v>
      </c>
      <c r="E128" s="93"/>
      <c r="F128" s="128" t="s">
        <v>96</v>
      </c>
      <c r="G128" s="95">
        <f t="shared" si="40"/>
        <v>804051.5</v>
      </c>
      <c r="H128" s="98">
        <f t="shared" si="40"/>
        <v>0</v>
      </c>
      <c r="I128" s="16" t="e">
        <f>I129</f>
        <v>#REF!</v>
      </c>
      <c r="J128" s="98">
        <f t="shared" si="40"/>
        <v>0</v>
      </c>
      <c r="K128" s="98">
        <f t="shared" si="40"/>
        <v>60000</v>
      </c>
      <c r="L128" s="98">
        <f t="shared" si="40"/>
        <v>0</v>
      </c>
      <c r="M128" s="98">
        <f t="shared" si="40"/>
        <v>0</v>
      </c>
      <c r="N128" s="98">
        <f t="shared" si="40"/>
        <v>0</v>
      </c>
      <c r="O128" s="98">
        <f t="shared" si="40"/>
        <v>0</v>
      </c>
      <c r="P128" s="98">
        <f t="shared" si="40"/>
        <v>0</v>
      </c>
      <c r="Q128" s="98">
        <f t="shared" si="40"/>
        <v>0</v>
      </c>
      <c r="R128" s="98">
        <f t="shared" si="40"/>
        <v>102000</v>
      </c>
      <c r="S128" s="98">
        <f t="shared" si="40"/>
        <v>0</v>
      </c>
      <c r="T128" s="98">
        <f t="shared" si="40"/>
        <v>0</v>
      </c>
      <c r="U128" s="98">
        <f t="shared" si="40"/>
        <v>162000</v>
      </c>
      <c r="V128" s="211">
        <f>V129</f>
        <v>642051.5</v>
      </c>
    </row>
    <row r="129" spans="1:23" ht="15.75" x14ac:dyDescent="0.25">
      <c r="A129" s="119">
        <v>2</v>
      </c>
      <c r="B129" s="119">
        <v>3</v>
      </c>
      <c r="C129" s="134">
        <v>7</v>
      </c>
      <c r="D129" s="119">
        <v>1</v>
      </c>
      <c r="E129" s="119">
        <v>1</v>
      </c>
      <c r="F129" s="106" t="s">
        <v>97</v>
      </c>
      <c r="G129" s="124">
        <f>960000-155948.5</f>
        <v>804051.5</v>
      </c>
      <c r="H129" s="109"/>
      <c r="I129" s="13" t="e">
        <f>+G129-#REF!</f>
        <v>#REF!</v>
      </c>
      <c r="J129" s="109"/>
      <c r="K129" s="109">
        <v>60000</v>
      </c>
      <c r="L129" s="109"/>
      <c r="M129" s="109"/>
      <c r="N129" s="110"/>
      <c r="O129" s="110"/>
      <c r="P129" s="110"/>
      <c r="Q129" s="110"/>
      <c r="R129" s="110">
        <f>100000+2000</f>
        <v>102000</v>
      </c>
      <c r="S129" s="110"/>
      <c r="T129" s="110"/>
      <c r="U129" s="103">
        <f>+H129+J129+K129+L129+M129+N129+O129+P129+Q129+R129+S129+T129</f>
        <v>162000</v>
      </c>
      <c r="V129" s="208">
        <f>+G129-U129</f>
        <v>642051.5</v>
      </c>
    </row>
    <row r="130" spans="1:23" ht="15.75" x14ac:dyDescent="0.25">
      <c r="A130" s="85"/>
      <c r="B130" s="85"/>
      <c r="C130" s="92"/>
      <c r="D130" s="85"/>
      <c r="E130" s="85"/>
      <c r="F130" s="106"/>
      <c r="G130" s="108"/>
      <c r="H130" s="110"/>
      <c r="I130" s="12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207"/>
    </row>
    <row r="131" spans="1:23" ht="16.5" thickBot="1" x14ac:dyDescent="0.3">
      <c r="A131" s="85">
        <v>2</v>
      </c>
      <c r="B131" s="85">
        <v>3</v>
      </c>
      <c r="C131" s="92">
        <v>9</v>
      </c>
      <c r="D131" s="85"/>
      <c r="E131" s="93"/>
      <c r="F131" s="104" t="s">
        <v>98</v>
      </c>
      <c r="G131" s="129">
        <f>SUM(G132:G136)</f>
        <v>595670</v>
      </c>
      <c r="H131" s="129">
        <f t="shared" ref="H131:U131" si="41">SUM(H132:H136)</f>
        <v>85512.01</v>
      </c>
      <c r="I131" s="129" t="e">
        <f t="shared" si="41"/>
        <v>#REF!</v>
      </c>
      <c r="J131" s="180">
        <f t="shared" si="41"/>
        <v>77078.3</v>
      </c>
      <c r="K131" s="180">
        <f t="shared" si="41"/>
        <v>480</v>
      </c>
      <c r="L131" s="180">
        <f t="shared" si="41"/>
        <v>116541.09999999999</v>
      </c>
      <c r="M131" s="180">
        <f t="shared" si="41"/>
        <v>91216.950000000012</v>
      </c>
      <c r="N131" s="180">
        <f t="shared" si="41"/>
        <v>747.85</v>
      </c>
      <c r="O131" s="180">
        <f t="shared" si="41"/>
        <v>111088.97</v>
      </c>
      <c r="P131" s="180">
        <f t="shared" si="41"/>
        <v>9953.2999999999993</v>
      </c>
      <c r="Q131" s="180">
        <f t="shared" si="41"/>
        <v>12639.55</v>
      </c>
      <c r="R131" s="180">
        <f t="shared" si="41"/>
        <v>248852.53</v>
      </c>
      <c r="S131" s="180">
        <f>SUM(S132:S136)</f>
        <v>0</v>
      </c>
      <c r="T131" s="180">
        <f>SUM(T132:T136)</f>
        <v>307236.84999999998</v>
      </c>
      <c r="U131" s="180">
        <f t="shared" si="41"/>
        <v>1061347.4099999999</v>
      </c>
      <c r="V131" s="206">
        <f>V132+V133+V134+V135+V136+V137</f>
        <v>-465677.40999999992</v>
      </c>
    </row>
    <row r="132" spans="1:23" ht="15.75" x14ac:dyDescent="0.25">
      <c r="A132" s="85">
        <v>2</v>
      </c>
      <c r="B132" s="85">
        <v>3</v>
      </c>
      <c r="C132" s="92">
        <v>9</v>
      </c>
      <c r="D132" s="85">
        <v>1</v>
      </c>
      <c r="E132" s="85"/>
      <c r="F132" s="106" t="s">
        <v>99</v>
      </c>
      <c r="G132" s="107">
        <v>8000</v>
      </c>
      <c r="H132" s="110"/>
      <c r="I132" s="12" t="e">
        <f>+G132-#REF!</f>
        <v>#REF!</v>
      </c>
      <c r="J132" s="110">
        <v>50</v>
      </c>
      <c r="K132" s="110"/>
      <c r="L132" s="110">
        <v>120</v>
      </c>
      <c r="M132" s="110"/>
      <c r="N132" s="110"/>
      <c r="O132" s="110"/>
      <c r="P132" s="110"/>
      <c r="Q132" s="110"/>
      <c r="R132" s="110"/>
      <c r="S132" s="110"/>
      <c r="T132" s="110"/>
      <c r="U132" s="103">
        <f>+H132+J132+K132+L132+M132+N132+O132+P132+Q132+R132+S132+T132</f>
        <v>170</v>
      </c>
      <c r="V132" s="207">
        <f t="shared" ref="V132:V137" si="42">+G132-U132</f>
        <v>7830</v>
      </c>
    </row>
    <row r="133" spans="1:23" ht="31.5" x14ac:dyDescent="0.25">
      <c r="A133" s="85">
        <v>2</v>
      </c>
      <c r="B133" s="85">
        <v>3</v>
      </c>
      <c r="C133" s="92">
        <v>9</v>
      </c>
      <c r="D133" s="85">
        <v>2</v>
      </c>
      <c r="E133" s="85"/>
      <c r="F133" s="106" t="s">
        <v>100</v>
      </c>
      <c r="G133" s="108">
        <v>195000</v>
      </c>
      <c r="H133" s="110">
        <v>79914.009999999995</v>
      </c>
      <c r="I133" s="12" t="e">
        <f>+G133-#REF!</f>
        <v>#REF!</v>
      </c>
      <c r="J133" s="110">
        <f>22495.78+8966.17+9109.6</f>
        <v>40571.549999999996</v>
      </c>
      <c r="K133" s="110"/>
      <c r="L133" s="110">
        <v>110424.4</v>
      </c>
      <c r="M133" s="110">
        <f>19857.64+41206.78+450</f>
        <v>61514.42</v>
      </c>
      <c r="N133" s="110"/>
      <c r="O133" s="110">
        <v>3899.99</v>
      </c>
      <c r="P133" s="110">
        <f>7062.3+2891</f>
        <v>9953.2999999999993</v>
      </c>
      <c r="Q133" s="110">
        <f>837+2400</f>
        <v>3237</v>
      </c>
      <c r="R133" s="110">
        <f>179245.54+28901.74</f>
        <v>208147.28</v>
      </c>
      <c r="S133" s="110"/>
      <c r="T133" s="110"/>
      <c r="U133" s="103">
        <f>+H133+J133+K133+L133+M133+N133+O133+P133+Q133+R133+S133+T133</f>
        <v>517661.94999999995</v>
      </c>
      <c r="V133" s="207">
        <f t="shared" si="42"/>
        <v>-322661.94999999995</v>
      </c>
      <c r="W133" s="261"/>
    </row>
    <row r="134" spans="1:23" ht="15.75" x14ac:dyDescent="0.25">
      <c r="A134" s="85">
        <v>2</v>
      </c>
      <c r="B134" s="119">
        <v>3</v>
      </c>
      <c r="C134" s="119">
        <v>9</v>
      </c>
      <c r="D134" s="85">
        <v>5</v>
      </c>
      <c r="E134" s="85"/>
      <c r="F134" s="135" t="s">
        <v>101</v>
      </c>
      <c r="G134" s="108">
        <v>10000</v>
      </c>
      <c r="H134" s="110"/>
      <c r="I134" s="12" t="e">
        <f>+G134-#REF!</f>
        <v>#REF!</v>
      </c>
      <c r="J134" s="110">
        <f>258.9+29108.9</f>
        <v>29367.800000000003</v>
      </c>
      <c r="K134" s="110"/>
      <c r="L134" s="110"/>
      <c r="M134" s="110">
        <v>29213.68</v>
      </c>
      <c r="N134" s="110"/>
      <c r="O134" s="110">
        <f>675.88+250+18620.4+39232.3+43563+1584.5+517.9</f>
        <v>104443.98</v>
      </c>
      <c r="P134" s="110"/>
      <c r="Q134" s="110">
        <v>2140</v>
      </c>
      <c r="R134" s="110">
        <v>36809.5</v>
      </c>
      <c r="S134" s="110"/>
      <c r="T134" s="110"/>
      <c r="U134" s="103">
        <f>+H134+J134+K134+L134+M134+N134+O134+P134+Q134+R134+S134+T134</f>
        <v>201974.96</v>
      </c>
      <c r="V134" s="207">
        <f t="shared" si="42"/>
        <v>-191974.96</v>
      </c>
      <c r="W134" s="261"/>
    </row>
    <row r="135" spans="1:23" ht="31.5" x14ac:dyDescent="0.25">
      <c r="A135" s="85">
        <v>2</v>
      </c>
      <c r="B135" s="85">
        <v>3</v>
      </c>
      <c r="C135" s="92">
        <v>9</v>
      </c>
      <c r="D135" s="85">
        <v>8</v>
      </c>
      <c r="E135" s="85"/>
      <c r="F135" s="132" t="s">
        <v>102</v>
      </c>
      <c r="G135" s="108">
        <v>20000</v>
      </c>
      <c r="H135" s="110">
        <v>2600</v>
      </c>
      <c r="I135" s="12" t="e">
        <f>+G135-#REF!</f>
        <v>#REF!</v>
      </c>
      <c r="J135" s="110"/>
      <c r="K135" s="110"/>
      <c r="L135" s="110"/>
      <c r="M135" s="110"/>
      <c r="N135" s="110"/>
      <c r="O135" s="110">
        <v>1805</v>
      </c>
      <c r="P135" s="110"/>
      <c r="Q135" s="110"/>
      <c r="R135" s="110"/>
      <c r="S135" s="110"/>
      <c r="T135" s="110">
        <f>185889.81+7876.69+40470.35</f>
        <v>234236.85</v>
      </c>
      <c r="U135" s="103">
        <f>+H135+J135+K135+L135+M135+N135+O135+P135+Q135+R135+S135+T135</f>
        <v>238641.85</v>
      </c>
      <c r="V135" s="207">
        <f t="shared" si="42"/>
        <v>-218641.85</v>
      </c>
      <c r="W135" s="261"/>
    </row>
    <row r="136" spans="1:23" ht="31.5" x14ac:dyDescent="0.25">
      <c r="A136" s="85">
        <v>2</v>
      </c>
      <c r="B136" s="85">
        <v>3</v>
      </c>
      <c r="C136" s="92">
        <v>9</v>
      </c>
      <c r="D136" s="85">
        <v>9</v>
      </c>
      <c r="E136" s="85"/>
      <c r="F136" s="132" t="s">
        <v>103</v>
      </c>
      <c r="G136" s="108">
        <f>435000-72330</f>
        <v>362670</v>
      </c>
      <c r="H136" s="110">
        <f>100+100+100+100+100+195+1200+1103</f>
        <v>2998</v>
      </c>
      <c r="I136" s="12" t="e">
        <f>+G136-#REF!</f>
        <v>#REF!</v>
      </c>
      <c r="J136" s="110">
        <f>6830+258.95</f>
        <v>7088.95</v>
      </c>
      <c r="K136" s="110">
        <v>480</v>
      </c>
      <c r="L136" s="110">
        <f>3957+517.9+560+143.95+817.85</f>
        <v>5996.7</v>
      </c>
      <c r="M136" s="110">
        <f>488.85</f>
        <v>488.85</v>
      </c>
      <c r="N136" s="110">
        <v>747.85</v>
      </c>
      <c r="O136" s="110">
        <f>440+500</f>
        <v>940</v>
      </c>
      <c r="P136" s="110"/>
      <c r="Q136" s="110">
        <f>517.9+599.95+517.9+4589+120+917.8</f>
        <v>7262.55</v>
      </c>
      <c r="R136" s="110">
        <f>817.85+840+517.9+1720</f>
        <v>3895.75</v>
      </c>
      <c r="S136" s="110"/>
      <c r="T136" s="110">
        <v>73000</v>
      </c>
      <c r="U136" s="103">
        <f>+H136+J136+K136+L136+M136+N136+O136+P136+Q136+R136+S136+T136</f>
        <v>102898.65</v>
      </c>
      <c r="V136" s="207">
        <f t="shared" si="42"/>
        <v>259771.35</v>
      </c>
      <c r="W136" s="261"/>
    </row>
    <row r="137" spans="1:23" ht="15.75" x14ac:dyDescent="0.25">
      <c r="A137" s="85">
        <v>2</v>
      </c>
      <c r="B137" s="85">
        <v>3</v>
      </c>
      <c r="C137" s="92">
        <v>9</v>
      </c>
      <c r="D137" s="85">
        <v>9</v>
      </c>
      <c r="E137" s="85">
        <v>2</v>
      </c>
      <c r="F137" s="132" t="s">
        <v>104</v>
      </c>
      <c r="G137" s="108"/>
      <c r="H137" s="110">
        <v>0</v>
      </c>
      <c r="I137" s="12">
        <v>0</v>
      </c>
      <c r="J137" s="110">
        <v>0</v>
      </c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03">
        <f t="shared" ref="U137" si="43">+H137+J137+K137+L137+M137+N137+O137+P137+Q137+R137+S137+T137</f>
        <v>0</v>
      </c>
      <c r="V137" s="207">
        <f t="shared" si="42"/>
        <v>0</v>
      </c>
    </row>
    <row r="138" spans="1:23" ht="15.75" x14ac:dyDescent="0.25">
      <c r="A138" s="85"/>
      <c r="B138" s="85"/>
      <c r="C138" s="92"/>
      <c r="D138" s="85"/>
      <c r="E138" s="85"/>
      <c r="F138" s="106"/>
      <c r="G138" s="108"/>
      <c r="H138" s="110"/>
      <c r="I138" s="12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207"/>
    </row>
    <row r="139" spans="1:23" ht="32.25" thickBot="1" x14ac:dyDescent="0.3">
      <c r="A139" s="85">
        <v>2</v>
      </c>
      <c r="B139" s="85">
        <v>6</v>
      </c>
      <c r="C139" s="92"/>
      <c r="D139" s="85"/>
      <c r="E139" s="93"/>
      <c r="F139" s="104" t="s">
        <v>105</v>
      </c>
      <c r="G139" s="96">
        <f>G140+G148+G152</f>
        <v>0</v>
      </c>
      <c r="H139" s="96">
        <f t="shared" ref="H139:T139" si="44">H140+H148+H152</f>
        <v>0</v>
      </c>
      <c r="I139" s="6" t="e">
        <f>I140+I148+I152+I141</f>
        <v>#REF!</v>
      </c>
      <c r="J139" s="96">
        <f t="shared" si="44"/>
        <v>0</v>
      </c>
      <c r="K139" s="96">
        <f t="shared" si="44"/>
        <v>0</v>
      </c>
      <c r="L139" s="96">
        <f t="shared" si="44"/>
        <v>10815.64</v>
      </c>
      <c r="M139" s="96">
        <f t="shared" si="44"/>
        <v>0</v>
      </c>
      <c r="N139" s="96">
        <f t="shared" si="44"/>
        <v>0</v>
      </c>
      <c r="O139" s="96">
        <f t="shared" si="44"/>
        <v>198522.47999999998</v>
      </c>
      <c r="P139" s="96">
        <f t="shared" si="44"/>
        <v>0</v>
      </c>
      <c r="Q139" s="96">
        <f t="shared" si="44"/>
        <v>0</v>
      </c>
      <c r="R139" s="96">
        <f t="shared" si="44"/>
        <v>0</v>
      </c>
      <c r="S139" s="96">
        <f t="shared" si="44"/>
        <v>0</v>
      </c>
      <c r="T139" s="96">
        <f t="shared" si="44"/>
        <v>100936.01</v>
      </c>
      <c r="U139" s="96">
        <f>U140+U148+U152</f>
        <v>310274.12999999995</v>
      </c>
      <c r="V139" s="202">
        <f>V140+V148+V152+V141</f>
        <v>-310274.12999999995</v>
      </c>
    </row>
    <row r="140" spans="1:23" ht="16.5" thickBot="1" x14ac:dyDescent="0.3">
      <c r="A140" s="85">
        <v>2</v>
      </c>
      <c r="B140" s="85">
        <v>6</v>
      </c>
      <c r="C140" s="92">
        <v>1</v>
      </c>
      <c r="D140" s="85"/>
      <c r="E140" s="119"/>
      <c r="F140" s="128" t="s">
        <v>106</v>
      </c>
      <c r="G140" s="97">
        <f>G142+G143+G144+G146+G147</f>
        <v>0</v>
      </c>
      <c r="H140" s="169">
        <f t="shared" ref="H140:N140" si="45">+H141+H142+H143+H144+H145+H146</f>
        <v>0</v>
      </c>
      <c r="I140" s="7">
        <f>I142+I143+I144+I146+I147</f>
        <v>0</v>
      </c>
      <c r="J140" s="169">
        <f t="shared" si="45"/>
        <v>0</v>
      </c>
      <c r="K140" s="169">
        <f t="shared" si="45"/>
        <v>0</v>
      </c>
      <c r="L140" s="169">
        <f t="shared" si="45"/>
        <v>10815.64</v>
      </c>
      <c r="M140" s="169">
        <f t="shared" si="45"/>
        <v>0</v>
      </c>
      <c r="N140" s="169">
        <f t="shared" si="45"/>
        <v>0</v>
      </c>
      <c r="O140" s="169">
        <f>+O141+O142+O143+O144+O145+O146</f>
        <v>198522.47999999998</v>
      </c>
      <c r="P140" s="169">
        <f t="shared" ref="P140:T140" si="46">+P141+P142+P143+P144+P145+P146</f>
        <v>0</v>
      </c>
      <c r="Q140" s="169">
        <f t="shared" si="46"/>
        <v>0</v>
      </c>
      <c r="R140" s="169">
        <f t="shared" si="46"/>
        <v>0</v>
      </c>
      <c r="S140" s="169">
        <f t="shared" si="46"/>
        <v>0</v>
      </c>
      <c r="T140" s="169">
        <f t="shared" si="46"/>
        <v>100936.01</v>
      </c>
      <c r="U140" s="169">
        <f>+U141+U142+U143+U144+U145+U146</f>
        <v>310274.12999999995</v>
      </c>
      <c r="V140" s="233">
        <f>V142+V143+V144+V146+V147</f>
        <v>-310274.12999999995</v>
      </c>
    </row>
    <row r="141" spans="1:23" ht="16.5" thickBot="1" x14ac:dyDescent="0.3">
      <c r="A141" s="85">
        <v>2</v>
      </c>
      <c r="B141" s="85">
        <v>6</v>
      </c>
      <c r="C141" s="92">
        <v>8</v>
      </c>
      <c r="D141" s="85">
        <v>8</v>
      </c>
      <c r="E141" s="119"/>
      <c r="F141" s="136" t="s">
        <v>107</v>
      </c>
      <c r="G141" s="108">
        <f>G143+G144+G145+G147+G148</f>
        <v>0</v>
      </c>
      <c r="H141" s="124">
        <f>H143+H144+H145+H147+H148</f>
        <v>0</v>
      </c>
      <c r="I141" s="7" t="e">
        <f>+G141-#REF!</f>
        <v>#REF!</v>
      </c>
      <c r="J141" s="124">
        <f>J143+J144+J145+J147+J148</f>
        <v>0</v>
      </c>
      <c r="K141" s="124">
        <f>K143+K144+K145+K147+K148</f>
        <v>0</v>
      </c>
      <c r="L141" s="124"/>
      <c r="M141" s="124"/>
      <c r="N141" s="224"/>
      <c r="O141" s="224"/>
      <c r="P141" s="224"/>
      <c r="Q141" s="224"/>
      <c r="R141" s="224"/>
      <c r="S141" s="224"/>
      <c r="T141" s="224"/>
      <c r="U141" s="103">
        <f>+H141+J141+K141+L141+M141+N141+O141+P141+Q141+R141+S141+T141</f>
        <v>0</v>
      </c>
      <c r="V141" s="214">
        <f t="shared" ref="V141:V146" si="47">+G141-U141</f>
        <v>0</v>
      </c>
    </row>
    <row r="142" spans="1:23" ht="31.5" x14ac:dyDescent="0.25">
      <c r="A142" s="85">
        <v>2</v>
      </c>
      <c r="B142" s="85">
        <v>6</v>
      </c>
      <c r="C142" s="92">
        <v>1</v>
      </c>
      <c r="D142" s="85">
        <v>1</v>
      </c>
      <c r="E142" s="119"/>
      <c r="F142" s="127" t="s">
        <v>108</v>
      </c>
      <c r="G142" s="108"/>
      <c r="H142" s="110"/>
      <c r="I142" s="13"/>
      <c r="J142" s="110"/>
      <c r="K142" s="110"/>
      <c r="L142" s="110">
        <v>10815.64</v>
      </c>
      <c r="M142" s="110"/>
      <c r="N142" s="183"/>
      <c r="O142" s="183">
        <v>109126.39999999999</v>
      </c>
      <c r="P142" s="183"/>
      <c r="Q142" s="183"/>
      <c r="R142" s="183"/>
      <c r="S142" s="183"/>
      <c r="T142" s="183"/>
      <c r="U142" s="103">
        <f>+H142+J142+K142+L142+M142+N142+O142+P142+Q142+R142+S142+T142</f>
        <v>119942.04</v>
      </c>
      <c r="V142" s="207">
        <f t="shared" si="47"/>
        <v>-119942.04</v>
      </c>
    </row>
    <row r="143" spans="1:23" ht="15.75" x14ac:dyDescent="0.25">
      <c r="A143" s="85">
        <v>2</v>
      </c>
      <c r="B143" s="85">
        <v>6</v>
      </c>
      <c r="C143" s="92">
        <v>1</v>
      </c>
      <c r="D143" s="85">
        <v>4</v>
      </c>
      <c r="E143" s="119"/>
      <c r="F143" s="127" t="s">
        <v>109</v>
      </c>
      <c r="G143" s="108"/>
      <c r="H143" s="110"/>
      <c r="I143" s="12"/>
      <c r="J143" s="110"/>
      <c r="K143" s="110"/>
      <c r="L143" s="110"/>
      <c r="M143" s="110"/>
      <c r="N143" s="183"/>
      <c r="O143" s="183">
        <v>44242.28</v>
      </c>
      <c r="P143" s="183"/>
      <c r="Q143" s="183"/>
      <c r="R143" s="183"/>
      <c r="S143" s="183"/>
      <c r="T143" s="183">
        <v>100936.01</v>
      </c>
      <c r="U143" s="103">
        <f>+H143+J143+K143+L143+M143+N143+O143+P143+Q143+R143+S143+T143</f>
        <v>145178.28999999998</v>
      </c>
      <c r="V143" s="207">
        <f t="shared" si="47"/>
        <v>-145178.28999999998</v>
      </c>
    </row>
    <row r="144" spans="1:23" ht="15.75" x14ac:dyDescent="0.25">
      <c r="A144" s="85">
        <v>2</v>
      </c>
      <c r="B144" s="85">
        <v>6</v>
      </c>
      <c r="C144" s="92">
        <v>1</v>
      </c>
      <c r="D144" s="85">
        <v>7</v>
      </c>
      <c r="E144" s="119"/>
      <c r="F144" s="127" t="s">
        <v>110</v>
      </c>
      <c r="G144" s="108"/>
      <c r="H144" s="110">
        <v>0</v>
      </c>
      <c r="I144" s="12">
        <v>0</v>
      </c>
      <c r="J144" s="110">
        <v>0</v>
      </c>
      <c r="K144" s="110"/>
      <c r="L144" s="110"/>
      <c r="M144" s="110"/>
      <c r="N144" s="183"/>
      <c r="O144" s="183">
        <v>42373.8</v>
      </c>
      <c r="P144" s="183"/>
      <c r="Q144" s="183"/>
      <c r="R144" s="183"/>
      <c r="S144" s="183"/>
      <c r="T144" s="183"/>
      <c r="U144" s="103">
        <f>+H144+J144+K144+L144+M144+N144+O144+P144+Q144+R144+S144+T144</f>
        <v>42373.8</v>
      </c>
      <c r="V144" s="207">
        <f t="shared" si="47"/>
        <v>-42373.8</v>
      </c>
    </row>
    <row r="145" spans="1:22" ht="15.75" x14ac:dyDescent="0.25">
      <c r="A145" s="85">
        <v>2</v>
      </c>
      <c r="B145" s="85">
        <v>6</v>
      </c>
      <c r="C145" s="92">
        <v>1</v>
      </c>
      <c r="D145" s="85">
        <v>8</v>
      </c>
      <c r="E145" s="119"/>
      <c r="F145" s="127" t="s">
        <v>111</v>
      </c>
      <c r="G145" s="108"/>
      <c r="H145" s="110"/>
      <c r="I145" s="12"/>
      <c r="J145" s="110"/>
      <c r="K145" s="110"/>
      <c r="L145" s="110"/>
      <c r="M145" s="110"/>
      <c r="N145" s="183"/>
      <c r="O145" s="183"/>
      <c r="P145" s="183"/>
      <c r="Q145" s="183"/>
      <c r="R145" s="183"/>
      <c r="S145" s="183"/>
      <c r="T145" s="183"/>
      <c r="U145" s="103">
        <f t="shared" ref="U145:U147" si="48">+H145+J145+K145+L145+M145+N145+O145+P145+Q145+R145+S145+T145</f>
        <v>0</v>
      </c>
      <c r="V145" s="207">
        <f t="shared" si="47"/>
        <v>0</v>
      </c>
    </row>
    <row r="146" spans="1:22" ht="31.5" x14ac:dyDescent="0.25">
      <c r="A146" s="85">
        <v>2</v>
      </c>
      <c r="B146" s="85">
        <v>6</v>
      </c>
      <c r="C146" s="92">
        <v>1</v>
      </c>
      <c r="D146" s="85">
        <v>9</v>
      </c>
      <c r="E146" s="119"/>
      <c r="F146" s="127" t="s">
        <v>112</v>
      </c>
      <c r="G146" s="108"/>
      <c r="H146" s="110"/>
      <c r="I146" s="12"/>
      <c r="J146" s="110"/>
      <c r="K146" s="110"/>
      <c r="L146" s="110"/>
      <c r="M146" s="110"/>
      <c r="N146" s="183"/>
      <c r="O146" s="183">
        <v>2780</v>
      </c>
      <c r="P146" s="183"/>
      <c r="Q146" s="183"/>
      <c r="R146" s="183"/>
      <c r="S146" s="183"/>
      <c r="T146" s="183"/>
      <c r="U146" s="103">
        <f>+H146+J146+K146+L146+M146+N146+O146+P146+Q146+R146+S146+T146</f>
        <v>2780</v>
      </c>
      <c r="V146" s="207">
        <f t="shared" si="47"/>
        <v>-2780</v>
      </c>
    </row>
    <row r="147" spans="1:22" ht="15.75" x14ac:dyDescent="0.25">
      <c r="A147" s="85"/>
      <c r="B147" s="85"/>
      <c r="C147" s="92"/>
      <c r="D147" s="85"/>
      <c r="E147" s="93"/>
      <c r="F147" s="128"/>
      <c r="G147" s="125"/>
      <c r="H147" s="96"/>
      <c r="I147" s="6">
        <f>+G147</f>
        <v>0</v>
      </c>
      <c r="J147" s="96"/>
      <c r="K147" s="96"/>
      <c r="L147" s="96"/>
      <c r="M147" s="96"/>
      <c r="N147" s="184"/>
      <c r="O147" s="184"/>
      <c r="P147" s="184"/>
      <c r="Q147" s="184"/>
      <c r="R147" s="184"/>
      <c r="S147" s="184"/>
      <c r="T147" s="184"/>
      <c r="U147" s="103">
        <f t="shared" si="48"/>
        <v>0</v>
      </c>
      <c r="V147" s="202"/>
    </row>
    <row r="148" spans="1:22" ht="32.25" thickBot="1" x14ac:dyDescent="0.3">
      <c r="A148" s="85">
        <v>2</v>
      </c>
      <c r="B148" s="85">
        <v>6</v>
      </c>
      <c r="C148" s="92">
        <v>2</v>
      </c>
      <c r="D148" s="85"/>
      <c r="E148" s="93"/>
      <c r="F148" s="128" t="s">
        <v>113</v>
      </c>
      <c r="G148" s="95">
        <f t="shared" ref="G148:V148" si="49">G149+G150</f>
        <v>0</v>
      </c>
      <c r="H148" s="117">
        <f t="shared" si="49"/>
        <v>0</v>
      </c>
      <c r="I148" s="19" t="e">
        <f t="shared" si="49"/>
        <v>#REF!</v>
      </c>
      <c r="J148" s="117">
        <f t="shared" si="49"/>
        <v>0</v>
      </c>
      <c r="K148" s="117">
        <f t="shared" si="49"/>
        <v>0</v>
      </c>
      <c r="L148" s="117">
        <f t="shared" si="49"/>
        <v>0</v>
      </c>
      <c r="M148" s="117">
        <f t="shared" si="49"/>
        <v>0</v>
      </c>
      <c r="N148" s="117">
        <f t="shared" si="49"/>
        <v>0</v>
      </c>
      <c r="O148" s="117">
        <f t="shared" si="49"/>
        <v>0</v>
      </c>
      <c r="P148" s="117">
        <f t="shared" si="49"/>
        <v>0</v>
      </c>
      <c r="Q148" s="117">
        <f t="shared" si="49"/>
        <v>0</v>
      </c>
      <c r="R148" s="117">
        <f t="shared" si="49"/>
        <v>0</v>
      </c>
      <c r="S148" s="117">
        <f t="shared" si="49"/>
        <v>0</v>
      </c>
      <c r="T148" s="117">
        <f t="shared" si="49"/>
        <v>0</v>
      </c>
      <c r="U148" s="110">
        <f t="shared" si="49"/>
        <v>0</v>
      </c>
      <c r="V148" s="211">
        <f t="shared" si="49"/>
        <v>0</v>
      </c>
    </row>
    <row r="149" spans="1:22" ht="31.5" x14ac:dyDescent="0.25">
      <c r="A149" s="85">
        <v>2</v>
      </c>
      <c r="B149" s="85">
        <v>6</v>
      </c>
      <c r="C149" s="92">
        <v>2</v>
      </c>
      <c r="D149" s="85">
        <v>1</v>
      </c>
      <c r="E149" s="119"/>
      <c r="F149" s="106" t="s">
        <v>114</v>
      </c>
      <c r="G149" s="108"/>
      <c r="H149" s="110">
        <v>0</v>
      </c>
      <c r="I149" s="12">
        <v>0</v>
      </c>
      <c r="J149" s="110">
        <v>0</v>
      </c>
      <c r="K149" s="110"/>
      <c r="L149" s="110"/>
      <c r="M149" s="183"/>
      <c r="N149" s="109"/>
      <c r="O149" s="109"/>
      <c r="P149" s="109"/>
      <c r="Q149" s="109"/>
      <c r="R149" s="109"/>
      <c r="S149" s="109"/>
      <c r="T149" s="109"/>
      <c r="U149" s="182">
        <f>+H149+J149+K149+L149+M149+N149+O149+P149+Q149+R149+S149+T149</f>
        <v>0</v>
      </c>
      <c r="V149" s="208">
        <f>+G149-U149</f>
        <v>0</v>
      </c>
    </row>
    <row r="150" spans="1:22" ht="31.5" x14ac:dyDescent="0.25">
      <c r="A150" s="85">
        <v>2</v>
      </c>
      <c r="B150" s="85">
        <v>6</v>
      </c>
      <c r="C150" s="92">
        <v>2</v>
      </c>
      <c r="D150" s="85">
        <v>3</v>
      </c>
      <c r="E150" s="119"/>
      <c r="F150" s="106" t="s">
        <v>115</v>
      </c>
      <c r="G150" s="108"/>
      <c r="H150" s="110">
        <f>G150*12</f>
        <v>0</v>
      </c>
      <c r="I150" s="12" t="e">
        <f>+G150-#REF!</f>
        <v>#REF!</v>
      </c>
      <c r="J150" s="110"/>
      <c r="K150" s="110"/>
      <c r="L150" s="110"/>
      <c r="M150" s="183"/>
      <c r="N150" s="110"/>
      <c r="O150" s="110"/>
      <c r="P150" s="110"/>
      <c r="Q150" s="110"/>
      <c r="R150" s="110"/>
      <c r="S150" s="110"/>
      <c r="T150" s="110"/>
      <c r="U150" s="103">
        <f>+H150+J150+K150+L150+M150+N150+O150+P150+Q150+R150+S150+T150</f>
        <v>0</v>
      </c>
      <c r="V150" s="207">
        <f>+G150-U150</f>
        <v>0</v>
      </c>
    </row>
    <row r="151" spans="1:22" ht="15.75" x14ac:dyDescent="0.25">
      <c r="A151" s="85"/>
      <c r="B151" s="85"/>
      <c r="C151" s="92"/>
      <c r="D151" s="85"/>
      <c r="E151" s="93"/>
      <c r="F151" s="104"/>
      <c r="G151" s="125"/>
      <c r="H151" s="96"/>
      <c r="I151" s="6"/>
      <c r="J151" s="96"/>
      <c r="K151" s="96"/>
      <c r="L151" s="96"/>
      <c r="M151" s="184"/>
      <c r="N151" s="96"/>
      <c r="O151" s="96"/>
      <c r="P151" s="96"/>
      <c r="Q151" s="96"/>
      <c r="R151" s="96"/>
      <c r="S151" s="96"/>
      <c r="T151" s="96"/>
      <c r="U151" s="96"/>
      <c r="V151" s="202"/>
    </row>
    <row r="152" spans="1:22" ht="48" thickBot="1" x14ac:dyDescent="0.3">
      <c r="A152" s="85">
        <v>2</v>
      </c>
      <c r="B152" s="85">
        <v>6</v>
      </c>
      <c r="C152" s="92">
        <v>4</v>
      </c>
      <c r="D152" s="85"/>
      <c r="E152" s="93"/>
      <c r="F152" s="104" t="s">
        <v>116</v>
      </c>
      <c r="G152" s="125">
        <f>G154+G155+G153</f>
        <v>0</v>
      </c>
      <c r="H152" s="110">
        <f t="shared" ref="H152:V152" si="50">H153+H154</f>
        <v>0</v>
      </c>
      <c r="I152" s="12">
        <f t="shared" si="50"/>
        <v>0</v>
      </c>
      <c r="J152" s="110">
        <f t="shared" si="50"/>
        <v>0</v>
      </c>
      <c r="K152" s="110">
        <f t="shared" si="50"/>
        <v>0</v>
      </c>
      <c r="L152" s="110">
        <f t="shared" si="50"/>
        <v>0</v>
      </c>
      <c r="M152" s="183">
        <f t="shared" si="50"/>
        <v>0</v>
      </c>
      <c r="N152" s="117">
        <f t="shared" si="50"/>
        <v>0</v>
      </c>
      <c r="O152" s="117">
        <f t="shared" si="50"/>
        <v>0</v>
      </c>
      <c r="P152" s="117">
        <f t="shared" si="50"/>
        <v>0</v>
      </c>
      <c r="Q152" s="117">
        <f t="shared" si="50"/>
        <v>0</v>
      </c>
      <c r="R152" s="117">
        <f t="shared" si="50"/>
        <v>0</v>
      </c>
      <c r="S152" s="117">
        <f t="shared" si="50"/>
        <v>0</v>
      </c>
      <c r="T152" s="117">
        <f t="shared" si="50"/>
        <v>0</v>
      </c>
      <c r="U152" s="117">
        <f t="shared" si="50"/>
        <v>0</v>
      </c>
      <c r="V152" s="211">
        <f t="shared" si="50"/>
        <v>0</v>
      </c>
    </row>
    <row r="153" spans="1:22" ht="47.25" x14ac:dyDescent="0.25">
      <c r="A153" s="85">
        <v>2</v>
      </c>
      <c r="B153" s="85">
        <v>6</v>
      </c>
      <c r="C153" s="92">
        <v>4</v>
      </c>
      <c r="D153" s="85"/>
      <c r="E153" s="93"/>
      <c r="F153" s="127" t="s">
        <v>116</v>
      </c>
      <c r="G153" s="100"/>
      <c r="H153" s="109">
        <v>0</v>
      </c>
      <c r="I153" s="13">
        <v>0</v>
      </c>
      <c r="J153" s="109">
        <v>0</v>
      </c>
      <c r="K153" s="109"/>
      <c r="L153" s="109"/>
      <c r="M153" s="109"/>
      <c r="N153" s="110"/>
      <c r="O153" s="110"/>
      <c r="P153" s="110"/>
      <c r="Q153" s="110"/>
      <c r="R153" s="110"/>
      <c r="S153" s="110"/>
      <c r="T153" s="110"/>
      <c r="U153" s="103">
        <f>+H153+J153+K153+L153+M153+N153+O153+P153+Q153+R153+S153+T153</f>
        <v>0</v>
      </c>
      <c r="V153" s="207">
        <f>+G153-U153</f>
        <v>0</v>
      </c>
    </row>
    <row r="154" spans="1:22" ht="15.75" x14ac:dyDescent="0.25">
      <c r="A154" s="85">
        <v>2</v>
      </c>
      <c r="B154" s="85">
        <v>6</v>
      </c>
      <c r="C154" s="92">
        <v>4</v>
      </c>
      <c r="D154" s="85">
        <v>1</v>
      </c>
      <c r="E154" s="85"/>
      <c r="F154" s="127" t="s">
        <v>117</v>
      </c>
      <c r="G154" s="108"/>
      <c r="H154" s="110">
        <v>0</v>
      </c>
      <c r="I154" s="12">
        <v>0</v>
      </c>
      <c r="J154" s="110">
        <v>0</v>
      </c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03">
        <f>+H154+J154+K154+L154+M154</f>
        <v>0</v>
      </c>
      <c r="V154" s="207">
        <f>+G154-U154</f>
        <v>0</v>
      </c>
    </row>
    <row r="155" spans="1:22" ht="15.75" x14ac:dyDescent="0.25">
      <c r="A155" s="85">
        <v>2</v>
      </c>
      <c r="B155" s="85">
        <v>6</v>
      </c>
      <c r="C155" s="92">
        <v>4</v>
      </c>
      <c r="D155" s="85">
        <v>7</v>
      </c>
      <c r="E155" s="85"/>
      <c r="F155" s="127" t="s">
        <v>118</v>
      </c>
      <c r="G155" s="108">
        <v>0</v>
      </c>
      <c r="H155" s="110">
        <v>0</v>
      </c>
      <c r="I155" s="12">
        <v>0</v>
      </c>
      <c r="J155" s="110">
        <v>0</v>
      </c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03">
        <f>+H155+J155+K155+L155+M155</f>
        <v>0</v>
      </c>
      <c r="V155" s="207">
        <f>+G155-U155</f>
        <v>0</v>
      </c>
    </row>
    <row r="156" spans="1:22" ht="16.5" thickBot="1" x14ac:dyDescent="0.3">
      <c r="A156" s="85"/>
      <c r="B156" s="85"/>
      <c r="C156" s="92"/>
      <c r="D156" s="84"/>
      <c r="E156" s="85"/>
      <c r="F156" s="127"/>
      <c r="G156" s="111"/>
      <c r="H156" s="117"/>
      <c r="I156" s="12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207"/>
    </row>
    <row r="157" spans="1:22" ht="16.5" thickBot="1" x14ac:dyDescent="0.3">
      <c r="A157" s="137"/>
      <c r="B157" s="137"/>
      <c r="C157" s="138"/>
      <c r="D157" s="139"/>
      <c r="E157" s="139"/>
      <c r="F157" s="140" t="s">
        <v>119</v>
      </c>
      <c r="G157" s="95">
        <f t="shared" ref="G157:V157" si="51">G113+G52+G12</f>
        <v>54039167.5</v>
      </c>
      <c r="H157" s="165">
        <f t="shared" si="51"/>
        <v>3087103.98</v>
      </c>
      <c r="I157" s="165" t="e">
        <f t="shared" si="51"/>
        <v>#REF!</v>
      </c>
      <c r="J157" s="165">
        <f t="shared" si="51"/>
        <v>3272561.4400000004</v>
      </c>
      <c r="K157" s="165">
        <f t="shared" si="51"/>
        <v>3296314.58</v>
      </c>
      <c r="L157" s="165">
        <f t="shared" si="51"/>
        <v>3958386.4610000001</v>
      </c>
      <c r="M157" s="165">
        <f t="shared" si="51"/>
        <v>3698270.74</v>
      </c>
      <c r="N157" s="165">
        <f t="shared" si="51"/>
        <v>3595808.3900000006</v>
      </c>
      <c r="O157" s="165">
        <f t="shared" si="51"/>
        <v>3869378.4699999997</v>
      </c>
      <c r="P157" s="165">
        <f t="shared" si="51"/>
        <v>4342702.32</v>
      </c>
      <c r="Q157" s="165">
        <f t="shared" si="51"/>
        <v>4243720.1899999995</v>
      </c>
      <c r="R157" s="165">
        <f t="shared" si="51"/>
        <v>4320358.67</v>
      </c>
      <c r="S157" s="165">
        <f t="shared" si="51"/>
        <v>4256803.01</v>
      </c>
      <c r="T157" s="165">
        <f t="shared" si="51"/>
        <v>6856765.1799999997</v>
      </c>
      <c r="U157" s="166">
        <f>U113+U52+U12</f>
        <v>48798173.431000002</v>
      </c>
      <c r="V157" s="234">
        <f t="shared" si="51"/>
        <v>5240995.0690000001</v>
      </c>
    </row>
    <row r="158" spans="1:22" ht="15.75" x14ac:dyDescent="0.25">
      <c r="A158" s="141"/>
      <c r="B158" s="141"/>
      <c r="C158" s="66"/>
      <c r="D158" s="66"/>
      <c r="E158" s="66"/>
      <c r="F158" s="66"/>
      <c r="G158" s="142"/>
      <c r="H158" s="143"/>
      <c r="I158" s="1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162"/>
    </row>
    <row r="159" spans="1:22" ht="18" x14ac:dyDescent="0.25">
      <c r="A159" s="141"/>
      <c r="B159" s="141"/>
      <c r="C159" s="66"/>
      <c r="D159" s="66"/>
      <c r="E159" s="144"/>
      <c r="F159" s="145"/>
      <c r="G159" s="142"/>
      <c r="H159" s="146"/>
      <c r="I159" s="31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173"/>
    </row>
    <row r="160" spans="1:22" ht="18" x14ac:dyDescent="0.25">
      <c r="A160" s="141"/>
      <c r="B160" s="141"/>
      <c r="C160" s="66"/>
      <c r="D160" s="66"/>
      <c r="E160" s="147"/>
      <c r="F160" s="148"/>
      <c r="G160" s="149"/>
      <c r="H160" s="150"/>
      <c r="I160" s="33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187"/>
    </row>
    <row r="161" spans="1:23" ht="21" thickBot="1" x14ac:dyDescent="0.35">
      <c r="A161" s="64"/>
      <c r="B161" s="64"/>
      <c r="C161" s="64"/>
      <c r="D161" s="64"/>
      <c r="E161" s="177"/>
      <c r="F161" s="248"/>
      <c r="G161" s="249"/>
      <c r="H161" s="151"/>
      <c r="I161" s="35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188"/>
      <c r="W161" s="18"/>
    </row>
    <row r="162" spans="1:23" ht="20.25" x14ac:dyDescent="0.3">
      <c r="A162" s="64"/>
      <c r="B162" s="64"/>
      <c r="C162" s="64"/>
      <c r="D162" s="64"/>
      <c r="E162" s="177"/>
      <c r="F162" s="250" t="s">
        <v>120</v>
      </c>
      <c r="G162" s="251"/>
      <c r="H162" s="225"/>
      <c r="I162" s="226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189"/>
    </row>
    <row r="163" spans="1:23" ht="20.25" x14ac:dyDescent="0.3">
      <c r="A163" s="64"/>
      <c r="B163" s="64"/>
      <c r="C163" s="64"/>
      <c r="D163" s="64"/>
      <c r="E163" s="177"/>
      <c r="F163" s="248" t="s">
        <v>121</v>
      </c>
      <c r="G163" s="252"/>
      <c r="H163" s="225"/>
      <c r="I163" s="43"/>
      <c r="J163" s="238"/>
      <c r="K163" s="238"/>
      <c r="L163" s="238"/>
      <c r="M163" s="39"/>
      <c r="N163" s="39"/>
      <c r="O163" s="39"/>
      <c r="P163" s="39"/>
      <c r="Q163" s="39"/>
      <c r="R163" s="39"/>
      <c r="S163" s="39"/>
      <c r="T163" s="39"/>
      <c r="U163" s="39"/>
      <c r="V163" s="190"/>
      <c r="W163" s="18"/>
    </row>
    <row r="164" spans="1:23" ht="20.25" x14ac:dyDescent="0.3">
      <c r="A164" s="64"/>
      <c r="B164" s="64"/>
      <c r="C164" s="64"/>
      <c r="D164" s="64"/>
      <c r="E164" s="177"/>
      <c r="F164" s="248"/>
      <c r="G164" s="252"/>
      <c r="H164" s="225"/>
      <c r="I164" s="43"/>
      <c r="J164" s="238"/>
      <c r="K164" s="238"/>
      <c r="L164" s="238"/>
      <c r="M164" s="39"/>
      <c r="N164" s="39"/>
      <c r="O164" s="39"/>
      <c r="P164" s="39"/>
      <c r="Q164" s="39"/>
      <c r="R164" s="39"/>
      <c r="S164" s="39"/>
      <c r="T164" s="39"/>
      <c r="U164" s="39"/>
      <c r="V164" s="190"/>
    </row>
    <row r="165" spans="1:23" ht="20.25" x14ac:dyDescent="0.3">
      <c r="A165" s="64"/>
      <c r="B165" s="64"/>
      <c r="C165" s="64"/>
      <c r="D165" s="64"/>
      <c r="E165" s="177"/>
      <c r="F165" s="248"/>
      <c r="G165" s="252"/>
      <c r="H165" s="225"/>
      <c r="I165" s="43"/>
      <c r="J165" s="238"/>
      <c r="K165" s="238"/>
      <c r="L165" s="238"/>
      <c r="M165" s="39"/>
      <c r="N165" s="39"/>
      <c r="O165" s="39"/>
      <c r="P165" s="39"/>
      <c r="Q165" s="39"/>
      <c r="R165" s="39"/>
      <c r="S165" s="39"/>
      <c r="T165" s="39"/>
      <c r="U165" s="39"/>
      <c r="V165" s="190"/>
    </row>
    <row r="166" spans="1:23" ht="20.25" x14ac:dyDescent="0.3">
      <c r="A166" s="64"/>
      <c r="B166" s="64"/>
      <c r="C166" s="64"/>
      <c r="D166" s="64"/>
      <c r="E166" s="177"/>
      <c r="F166" s="248"/>
      <c r="G166" s="253"/>
      <c r="H166" s="225"/>
      <c r="I166" s="225"/>
      <c r="J166" s="239"/>
      <c r="K166" s="239"/>
      <c r="L166" s="238"/>
      <c r="M166" s="39"/>
      <c r="N166" s="39"/>
      <c r="O166" s="39"/>
      <c r="P166" s="39"/>
      <c r="Q166" s="39"/>
      <c r="R166" s="39"/>
      <c r="S166" s="39"/>
      <c r="T166" s="39"/>
      <c r="U166" s="39"/>
      <c r="V166" s="190"/>
    </row>
    <row r="167" spans="1:23" ht="20.25" x14ac:dyDescent="0.3">
      <c r="A167" s="64"/>
      <c r="B167" s="64"/>
      <c r="C167" s="64"/>
      <c r="D167" s="64"/>
      <c r="E167" s="177"/>
      <c r="F167" s="248"/>
      <c r="G167" s="253"/>
      <c r="H167" s="176"/>
      <c r="I167" s="225"/>
      <c r="J167" s="225"/>
      <c r="K167" s="225"/>
      <c r="L167" s="240"/>
      <c r="M167" s="228"/>
      <c r="N167" s="161"/>
      <c r="O167" s="161"/>
      <c r="P167" s="161"/>
      <c r="Q167" s="161"/>
      <c r="R167" s="161"/>
      <c r="S167" s="161"/>
      <c r="T167" s="161"/>
      <c r="U167" s="161"/>
      <c r="V167" s="190"/>
    </row>
    <row r="168" spans="1:23" ht="20.25" x14ac:dyDescent="0.3">
      <c r="A168" s="64"/>
      <c r="B168" s="64"/>
      <c r="C168" s="64"/>
      <c r="D168" s="64"/>
      <c r="E168" s="177"/>
      <c r="F168" s="248"/>
      <c r="G168" s="253"/>
      <c r="H168" s="176"/>
      <c r="I168" s="225"/>
      <c r="J168" s="176"/>
      <c r="K168" s="176"/>
      <c r="L168" s="241"/>
      <c r="M168" s="23"/>
      <c r="N168" s="11"/>
      <c r="O168" s="11"/>
      <c r="P168" s="11"/>
      <c r="Q168" s="11"/>
      <c r="R168" s="11"/>
      <c r="S168" s="11"/>
      <c r="T168" s="11"/>
      <c r="U168" s="11"/>
      <c r="V168" s="190"/>
    </row>
    <row r="169" spans="1:23" ht="21" thickBot="1" x14ac:dyDescent="0.35">
      <c r="A169" s="64"/>
      <c r="B169" s="64"/>
      <c r="C169" s="64"/>
      <c r="D169" s="64"/>
      <c r="E169" s="177"/>
      <c r="F169" s="254"/>
      <c r="G169" s="253"/>
      <c r="H169" s="176"/>
      <c r="I169" s="225"/>
      <c r="J169" s="176"/>
      <c r="K169" s="176"/>
      <c r="L169" s="241"/>
      <c r="M169" s="23"/>
      <c r="N169" s="23"/>
      <c r="O169" s="23"/>
      <c r="P169" s="23"/>
      <c r="Q169" s="23"/>
      <c r="R169" s="23"/>
      <c r="S169" s="23"/>
      <c r="T169" s="23"/>
      <c r="U169" s="23"/>
      <c r="V169" s="189"/>
    </row>
    <row r="170" spans="1:23" ht="20.25" x14ac:dyDescent="0.3">
      <c r="A170" s="64"/>
      <c r="B170" s="64"/>
      <c r="C170" s="64"/>
      <c r="D170" s="64"/>
      <c r="E170" s="177"/>
      <c r="F170" s="248" t="s">
        <v>122</v>
      </c>
      <c r="G170" s="255"/>
      <c r="H170" s="241"/>
      <c r="I170" s="43"/>
      <c r="J170" s="241"/>
      <c r="K170" s="241"/>
      <c r="L170" s="241"/>
      <c r="M170" s="23"/>
      <c r="N170" s="23"/>
      <c r="O170" s="23"/>
      <c r="P170" s="23"/>
      <c r="Q170" s="23"/>
      <c r="R170" s="23"/>
      <c r="S170" s="23"/>
      <c r="T170" s="23"/>
      <c r="U170" s="23"/>
      <c r="V170" s="189"/>
    </row>
    <row r="171" spans="1:23" ht="20.25" x14ac:dyDescent="0.3">
      <c r="A171" s="64"/>
      <c r="B171" s="64"/>
      <c r="C171" s="64"/>
      <c r="D171" s="64"/>
      <c r="E171" s="177"/>
      <c r="F171" s="248" t="s">
        <v>123</v>
      </c>
      <c r="G171" s="255"/>
      <c r="H171" s="241"/>
      <c r="I171" s="43"/>
      <c r="J171" s="241"/>
      <c r="K171" s="241"/>
      <c r="L171" s="241"/>
      <c r="M171" s="23"/>
      <c r="N171" s="23"/>
      <c r="O171" s="23"/>
      <c r="P171" s="23"/>
      <c r="Q171" s="23"/>
      <c r="R171" s="23"/>
      <c r="S171" s="23"/>
      <c r="T171" s="23"/>
      <c r="U171" s="23"/>
      <c r="V171" s="189"/>
    </row>
    <row r="172" spans="1:23" ht="20.25" x14ac:dyDescent="0.3">
      <c r="A172" s="64"/>
      <c r="B172" s="64"/>
      <c r="C172" s="64"/>
      <c r="D172" s="64"/>
      <c r="E172" s="177"/>
      <c r="F172" s="248"/>
      <c r="G172" s="249"/>
      <c r="H172" s="241"/>
      <c r="I172" s="48"/>
      <c r="J172" s="241"/>
      <c r="K172" s="241"/>
      <c r="L172" s="241"/>
      <c r="M172" s="23"/>
      <c r="N172" s="23"/>
      <c r="O172" s="23"/>
      <c r="P172" s="23"/>
      <c r="Q172" s="23"/>
      <c r="R172" s="23"/>
      <c r="S172" s="23"/>
      <c r="T172" s="23"/>
      <c r="U172" s="23"/>
      <c r="V172" s="191"/>
    </row>
    <row r="173" spans="1:23" ht="20.25" x14ac:dyDescent="0.3">
      <c r="A173" s="64"/>
      <c r="B173" s="64"/>
      <c r="C173" s="64"/>
      <c r="D173" s="64"/>
      <c r="E173" s="177"/>
      <c r="F173" s="248"/>
      <c r="G173" s="248"/>
      <c r="H173" s="241"/>
      <c r="I173" s="43"/>
      <c r="J173" s="241"/>
      <c r="K173" s="171"/>
      <c r="L173" s="171"/>
      <c r="M173" s="171"/>
      <c r="N173" s="171"/>
      <c r="O173" s="171"/>
      <c r="P173" s="171"/>
      <c r="Q173" s="171"/>
      <c r="R173" s="171"/>
      <c r="S173" s="171"/>
      <c r="T173" s="171"/>
      <c r="U173" s="23"/>
      <c r="V173" s="190"/>
    </row>
    <row r="174" spans="1:23" ht="20.25" x14ac:dyDescent="0.3">
      <c r="A174" s="64"/>
      <c r="B174" s="64"/>
      <c r="C174" s="64"/>
      <c r="D174" s="64"/>
      <c r="E174" s="177"/>
      <c r="F174" s="248"/>
      <c r="G174" s="248"/>
      <c r="H174" s="158"/>
      <c r="I174" s="43"/>
      <c r="J174" s="23"/>
      <c r="K174" s="170"/>
      <c r="L174" s="170"/>
      <c r="M174" s="170"/>
      <c r="N174" s="179"/>
      <c r="O174" s="179"/>
      <c r="P174" s="179"/>
      <c r="Q174" s="179"/>
      <c r="R174" s="179"/>
      <c r="S174" s="179"/>
      <c r="T174" s="179"/>
      <c r="U174" s="23"/>
      <c r="V174" s="190"/>
    </row>
    <row r="175" spans="1:23" ht="20.25" x14ac:dyDescent="0.3">
      <c r="A175" s="64"/>
      <c r="B175" s="64"/>
      <c r="C175" s="64"/>
      <c r="D175" s="64"/>
      <c r="E175" s="177"/>
      <c r="F175" s="177"/>
      <c r="G175" s="177"/>
      <c r="H175" s="160"/>
      <c r="I175" s="56"/>
      <c r="J175" s="23"/>
      <c r="K175" s="170"/>
      <c r="L175" s="170"/>
      <c r="M175" s="170"/>
      <c r="N175" s="179"/>
      <c r="O175" s="179"/>
      <c r="P175" s="179"/>
      <c r="Q175" s="179"/>
      <c r="R175" s="179"/>
      <c r="S175" s="179"/>
      <c r="T175" s="179"/>
      <c r="U175" s="23"/>
      <c r="V175" s="190"/>
    </row>
    <row r="176" spans="1:23" ht="20.25" x14ac:dyDescent="0.3">
      <c r="A176" s="64"/>
      <c r="B176" s="64"/>
      <c r="C176" s="64"/>
      <c r="D176" s="64"/>
      <c r="E176" s="177"/>
      <c r="F176" s="177"/>
      <c r="G176" s="177"/>
      <c r="H176" s="160"/>
      <c r="I176" s="56"/>
      <c r="J176" s="23"/>
      <c r="K176" s="178"/>
      <c r="L176" s="178"/>
      <c r="M176" s="178"/>
      <c r="N176" s="179"/>
      <c r="O176" s="179"/>
      <c r="P176" s="179"/>
      <c r="Q176" s="179"/>
      <c r="R176" s="179"/>
      <c r="S176" s="179"/>
      <c r="T176" s="179"/>
      <c r="U176" s="23"/>
      <c r="V176" s="190"/>
    </row>
    <row r="177" spans="1:22" ht="21" thickBot="1" x14ac:dyDescent="0.35">
      <c r="A177" s="64"/>
      <c r="B177" s="64"/>
      <c r="C177" s="64"/>
      <c r="D177" s="64"/>
      <c r="E177" s="177"/>
      <c r="F177" s="254"/>
      <c r="G177" s="177"/>
      <c r="H177" s="160"/>
      <c r="I177" s="56"/>
      <c r="J177" s="23"/>
      <c r="K177" s="171"/>
      <c r="L177" s="171"/>
      <c r="M177" s="171"/>
      <c r="N177" s="179"/>
      <c r="O177" s="179"/>
      <c r="P177" s="179"/>
      <c r="Q177" s="179"/>
      <c r="R177" s="179"/>
      <c r="S177" s="179"/>
      <c r="T177" s="179"/>
      <c r="U177" s="23"/>
      <c r="V177" s="190"/>
    </row>
    <row r="178" spans="1:22" ht="20.25" x14ac:dyDescent="0.3">
      <c r="A178" s="64"/>
      <c r="B178" s="64"/>
      <c r="C178" s="64"/>
      <c r="D178" s="64"/>
      <c r="E178" s="177"/>
      <c r="F178" s="248" t="s">
        <v>124</v>
      </c>
      <c r="G178" s="177"/>
      <c r="H178" s="160"/>
      <c r="I178" s="56"/>
      <c r="J178" s="23"/>
      <c r="K178" s="171"/>
      <c r="L178" s="171"/>
      <c r="M178" s="171"/>
      <c r="N178" s="178"/>
      <c r="O178" s="178"/>
      <c r="P178" s="178"/>
      <c r="Q178" s="178"/>
      <c r="R178" s="178"/>
      <c r="S178" s="178"/>
      <c r="T178" s="178"/>
      <c r="U178" s="23"/>
      <c r="V178" s="190"/>
    </row>
    <row r="179" spans="1:22" ht="20.25" x14ac:dyDescent="0.3">
      <c r="A179" s="64"/>
      <c r="B179" s="64"/>
      <c r="C179" s="64"/>
      <c r="D179" s="64"/>
      <c r="E179" s="177"/>
      <c r="F179" s="248" t="s">
        <v>125</v>
      </c>
      <c r="G179" s="177"/>
      <c r="H179" s="160"/>
      <c r="I179" s="23"/>
      <c r="J179" s="23"/>
      <c r="K179" s="171"/>
      <c r="L179" s="171"/>
      <c r="M179" s="171"/>
      <c r="N179" s="178"/>
      <c r="O179" s="178"/>
      <c r="P179" s="178"/>
      <c r="Q179" s="178"/>
      <c r="R179" s="178"/>
      <c r="S179" s="178"/>
      <c r="T179" s="178"/>
      <c r="U179" s="23"/>
      <c r="V179" s="190"/>
    </row>
    <row r="180" spans="1:22" ht="20.25" x14ac:dyDescent="0.3">
      <c r="A180" s="64"/>
      <c r="B180" s="64"/>
      <c r="C180" s="64"/>
      <c r="D180" s="64"/>
      <c r="E180" s="177"/>
      <c r="F180" s="248"/>
      <c r="G180" s="177"/>
      <c r="H180" s="160"/>
      <c r="I180" s="23"/>
      <c r="J180" s="23"/>
      <c r="K180" s="23"/>
      <c r="L180" s="23"/>
      <c r="M180" s="23"/>
      <c r="N180" s="178"/>
      <c r="O180" s="178"/>
      <c r="P180" s="178"/>
      <c r="Q180" s="178"/>
      <c r="R180" s="178"/>
      <c r="S180" s="178"/>
      <c r="T180" s="178"/>
      <c r="U180" s="23"/>
      <c r="V180" s="190"/>
    </row>
    <row r="181" spans="1:22" x14ac:dyDescent="0.25">
      <c r="A181" s="64"/>
      <c r="B181" s="64"/>
      <c r="C181" s="64"/>
      <c r="D181" s="64"/>
      <c r="E181" s="64"/>
      <c r="F181" s="64"/>
      <c r="G181" s="64"/>
      <c r="H181" s="65"/>
      <c r="I181" s="23"/>
      <c r="J181" s="23"/>
      <c r="K181" s="23"/>
      <c r="L181" s="23"/>
      <c r="M181" s="23"/>
      <c r="N181" s="178"/>
      <c r="O181" s="178"/>
      <c r="P181" s="178"/>
      <c r="Q181" s="178"/>
      <c r="R181" s="178"/>
      <c r="S181" s="178"/>
      <c r="T181" s="178"/>
      <c r="U181" s="23"/>
      <c r="V181" s="190"/>
    </row>
    <row r="182" spans="1:22" x14ac:dyDescent="0.25">
      <c r="A182" s="64"/>
      <c r="B182" s="64"/>
      <c r="C182" s="64"/>
      <c r="D182" s="64"/>
      <c r="E182" s="64"/>
      <c r="F182" s="64"/>
      <c r="G182" s="64"/>
      <c r="H182" s="65"/>
      <c r="I182" s="23"/>
      <c r="J182" s="23"/>
      <c r="K182" s="23"/>
      <c r="L182" s="23"/>
      <c r="M182" s="23"/>
      <c r="N182" s="178"/>
      <c r="O182" s="178"/>
      <c r="P182" s="178"/>
      <c r="Q182" s="178"/>
      <c r="R182" s="178"/>
      <c r="S182" s="178"/>
      <c r="T182" s="178"/>
      <c r="U182" s="23"/>
      <c r="V182" s="190"/>
    </row>
    <row r="183" spans="1:22" x14ac:dyDescent="0.25">
      <c r="A183" s="64"/>
      <c r="B183" s="64"/>
      <c r="C183" s="64"/>
      <c r="D183" s="64"/>
      <c r="E183" s="64"/>
      <c r="F183" s="64"/>
      <c r="G183" s="64"/>
      <c r="H183" s="65"/>
      <c r="I183" s="23"/>
      <c r="J183" s="23"/>
      <c r="K183" s="23"/>
      <c r="L183" s="23"/>
      <c r="M183" s="23"/>
      <c r="N183" s="178"/>
      <c r="O183" s="178"/>
      <c r="P183" s="178"/>
      <c r="Q183" s="178"/>
      <c r="R183" s="178"/>
      <c r="S183" s="178"/>
      <c r="T183" s="178"/>
      <c r="U183" s="23"/>
      <c r="V183" s="190"/>
    </row>
    <row r="184" spans="1:22" x14ac:dyDescent="0.25">
      <c r="A184" s="64"/>
      <c r="B184" s="64"/>
      <c r="C184" s="64"/>
      <c r="D184" s="64"/>
      <c r="E184" s="64"/>
      <c r="F184" s="64"/>
      <c r="G184" s="64"/>
      <c r="H184" s="65"/>
      <c r="I184" s="23"/>
      <c r="J184" s="23"/>
      <c r="K184" s="23"/>
      <c r="L184" s="23"/>
      <c r="M184" s="23"/>
      <c r="N184" s="178"/>
      <c r="O184" s="178"/>
      <c r="P184" s="178"/>
      <c r="Q184" s="178"/>
      <c r="R184" s="178"/>
      <c r="S184" s="178"/>
      <c r="T184" s="178"/>
      <c r="U184" s="23"/>
      <c r="V184" s="190"/>
    </row>
    <row r="185" spans="1:22" x14ac:dyDescent="0.25">
      <c r="A185" s="64"/>
      <c r="B185" s="64"/>
      <c r="C185" s="64"/>
      <c r="D185" s="64"/>
      <c r="E185" s="64"/>
      <c r="G185" s="64"/>
      <c r="H185" s="65"/>
      <c r="I185" s="23"/>
      <c r="J185" s="23"/>
      <c r="K185" s="23"/>
      <c r="L185" s="23"/>
      <c r="M185" s="23"/>
      <c r="N185" s="171"/>
      <c r="O185" s="171"/>
      <c r="P185" s="171"/>
      <c r="Q185" s="171"/>
      <c r="R185" s="171"/>
      <c r="S185" s="171"/>
      <c r="T185" s="171"/>
      <c r="U185" s="23"/>
      <c r="V185" s="190"/>
    </row>
    <row r="186" spans="1:22" x14ac:dyDescent="0.25">
      <c r="A186" s="64"/>
      <c r="B186" s="64"/>
      <c r="C186" s="64"/>
      <c r="D186" s="64"/>
      <c r="E186" s="64"/>
      <c r="G186" s="64"/>
      <c r="H186" s="65"/>
      <c r="I186" s="23"/>
      <c r="J186" s="23"/>
      <c r="K186" s="23"/>
      <c r="L186" s="23"/>
      <c r="M186" s="23"/>
      <c r="N186" s="172"/>
      <c r="O186" s="172"/>
      <c r="P186" s="172"/>
      <c r="Q186" s="172"/>
      <c r="R186" s="172"/>
      <c r="S186" s="172"/>
      <c r="T186" s="172"/>
      <c r="U186" s="23"/>
      <c r="V186" s="190"/>
    </row>
    <row r="187" spans="1:22" x14ac:dyDescent="0.25">
      <c r="A187" s="64"/>
      <c r="B187" s="64"/>
      <c r="C187" s="64"/>
      <c r="D187" s="64"/>
      <c r="E187" s="64"/>
      <c r="F187" s="64"/>
      <c r="G187" s="64"/>
      <c r="H187" s="65"/>
      <c r="I187" s="23"/>
      <c r="J187" s="23"/>
      <c r="K187" s="23"/>
      <c r="L187" s="23"/>
      <c r="M187" s="23"/>
      <c r="N187" s="235"/>
      <c r="O187" s="235"/>
      <c r="P187" s="235"/>
      <c r="Q187" s="235"/>
      <c r="R187" s="235"/>
      <c r="S187" s="235"/>
      <c r="T187" s="235"/>
      <c r="U187" s="23"/>
      <c r="V187" s="190"/>
    </row>
    <row r="188" spans="1:22" x14ac:dyDescent="0.25">
      <c r="A188" s="64"/>
      <c r="B188" s="64"/>
      <c r="C188" s="64"/>
      <c r="D188" s="64"/>
      <c r="E188" s="64"/>
      <c r="F188" s="64"/>
      <c r="G188" s="64"/>
      <c r="H188" s="65"/>
      <c r="I188" s="23"/>
      <c r="J188" s="23"/>
      <c r="K188" s="23"/>
      <c r="L188" s="23"/>
      <c r="M188" s="23"/>
      <c r="N188" s="172"/>
      <c r="O188" s="172"/>
      <c r="P188" s="172"/>
      <c r="Q188" s="172"/>
      <c r="R188" s="172"/>
      <c r="S188" s="172"/>
      <c r="T188" s="172"/>
      <c r="U188" s="23"/>
      <c r="V188" s="192"/>
    </row>
    <row r="189" spans="1:22" x14ac:dyDescent="0.25">
      <c r="A189" s="64"/>
      <c r="B189" s="64"/>
      <c r="C189" s="64"/>
      <c r="D189" s="64"/>
      <c r="E189" s="64"/>
      <c r="F189" s="64"/>
      <c r="G189" s="64"/>
      <c r="H189" s="65"/>
      <c r="I189" s="23"/>
      <c r="J189" s="23"/>
      <c r="K189" s="23"/>
      <c r="L189" s="23"/>
      <c r="M189" s="23"/>
      <c r="N189" s="235"/>
      <c r="O189" s="235"/>
      <c r="P189" s="235"/>
      <c r="Q189" s="235"/>
      <c r="R189" s="235"/>
      <c r="S189" s="235"/>
      <c r="T189" s="235"/>
      <c r="U189" s="23"/>
      <c r="V189" s="192"/>
    </row>
    <row r="190" spans="1:22" x14ac:dyDescent="0.25">
      <c r="H190" s="30"/>
      <c r="I190" s="23"/>
      <c r="J190" s="23"/>
      <c r="K190" s="23"/>
      <c r="L190" s="23"/>
      <c r="M190" s="23"/>
      <c r="N190" s="46"/>
      <c r="O190" s="46"/>
      <c r="P190" s="46"/>
      <c r="Q190" s="46"/>
      <c r="R190" s="46"/>
      <c r="S190" s="46"/>
      <c r="T190" s="46"/>
      <c r="U190" s="23"/>
      <c r="V190" s="193"/>
    </row>
    <row r="191" spans="1:22" x14ac:dyDescent="0.25"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193"/>
    </row>
    <row r="192" spans="1:22" x14ac:dyDescent="0.25"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193"/>
    </row>
    <row r="193" spans="9:22" x14ac:dyDescent="0.25"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193"/>
    </row>
    <row r="194" spans="9:22" x14ac:dyDescent="0.25"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193"/>
    </row>
    <row r="195" spans="9:22" x14ac:dyDescent="0.25"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164"/>
    </row>
    <row r="196" spans="9:22" x14ac:dyDescent="0.25"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179"/>
    </row>
    <row r="197" spans="9:22" x14ac:dyDescent="0.25"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164"/>
    </row>
    <row r="198" spans="9:22" x14ac:dyDescent="0.25"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164"/>
    </row>
    <row r="199" spans="9:22" x14ac:dyDescent="0.25"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164"/>
    </row>
    <row r="200" spans="9:22" x14ac:dyDescent="0.25"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164"/>
    </row>
    <row r="201" spans="9:22" x14ac:dyDescent="0.25"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164"/>
    </row>
    <row r="202" spans="9:22" x14ac:dyDescent="0.25"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163"/>
    </row>
    <row r="203" spans="9:22" x14ac:dyDescent="0.25"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163"/>
    </row>
    <row r="204" spans="9:22" x14ac:dyDescent="0.25"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163"/>
    </row>
    <row r="205" spans="9:22" x14ac:dyDescent="0.25"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163"/>
    </row>
    <row r="206" spans="9:22" x14ac:dyDescent="0.25"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163"/>
    </row>
    <row r="207" spans="9:22" x14ac:dyDescent="0.25"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163"/>
    </row>
    <row r="208" spans="9:22" x14ac:dyDescent="0.25"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163"/>
    </row>
    <row r="209" spans="9:22" x14ac:dyDescent="0.25"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163"/>
    </row>
    <row r="210" spans="9:22" x14ac:dyDescent="0.25"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163"/>
    </row>
    <row r="211" spans="9:22" x14ac:dyDescent="0.25"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163"/>
    </row>
    <row r="212" spans="9:22" x14ac:dyDescent="0.25"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163"/>
    </row>
    <row r="213" spans="9:22" x14ac:dyDescent="0.25"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163"/>
    </row>
    <row r="214" spans="9:22" x14ac:dyDescent="0.25"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163"/>
    </row>
    <row r="215" spans="9:22" x14ac:dyDescent="0.25"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163"/>
    </row>
    <row r="216" spans="9:22" x14ac:dyDescent="0.25"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163"/>
    </row>
    <row r="217" spans="9:22" x14ac:dyDescent="0.25"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163"/>
    </row>
    <row r="218" spans="9:22" x14ac:dyDescent="0.25"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163"/>
    </row>
    <row r="219" spans="9:22" x14ac:dyDescent="0.25"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163"/>
    </row>
    <row r="220" spans="9:22" x14ac:dyDescent="0.25"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163"/>
    </row>
    <row r="221" spans="9:22" x14ac:dyDescent="0.25"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163"/>
    </row>
    <row r="222" spans="9:22" x14ac:dyDescent="0.25"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163"/>
    </row>
    <row r="223" spans="9:22" x14ac:dyDescent="0.25"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163"/>
    </row>
    <row r="224" spans="9:22" x14ac:dyDescent="0.25"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163"/>
    </row>
    <row r="225" spans="9:22" x14ac:dyDescent="0.25"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163"/>
    </row>
    <row r="226" spans="9:22" x14ac:dyDescent="0.25"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163"/>
    </row>
    <row r="227" spans="9:22" x14ac:dyDescent="0.25"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163"/>
    </row>
    <row r="228" spans="9:22" x14ac:dyDescent="0.25"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163"/>
    </row>
    <row r="229" spans="9:22" x14ac:dyDescent="0.25"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163"/>
    </row>
    <row r="230" spans="9:22" x14ac:dyDescent="0.25"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163"/>
    </row>
    <row r="231" spans="9:22" x14ac:dyDescent="0.25"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163"/>
    </row>
    <row r="232" spans="9:22" x14ac:dyDescent="0.25"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163"/>
    </row>
    <row r="233" spans="9:22" x14ac:dyDescent="0.25"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40"/>
    </row>
    <row r="234" spans="9:22" x14ac:dyDescent="0.25"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40"/>
    </row>
    <row r="235" spans="9:22" x14ac:dyDescent="0.25"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40"/>
    </row>
    <row r="236" spans="9:22" x14ac:dyDescent="0.25"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40"/>
    </row>
    <row r="237" spans="9:22" x14ac:dyDescent="0.25"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40"/>
    </row>
    <row r="238" spans="9:22" x14ac:dyDescent="0.25"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40"/>
    </row>
    <row r="239" spans="9:22" x14ac:dyDescent="0.25"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40"/>
    </row>
    <row r="240" spans="9:22" x14ac:dyDescent="0.25"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40"/>
    </row>
    <row r="241" spans="9:22" x14ac:dyDescent="0.25"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40"/>
    </row>
    <row r="242" spans="9:22" x14ac:dyDescent="0.25"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40"/>
    </row>
    <row r="243" spans="9:22" x14ac:dyDescent="0.25"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40"/>
    </row>
    <row r="244" spans="9:22" x14ac:dyDescent="0.25"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40"/>
    </row>
    <row r="245" spans="9:22" x14ac:dyDescent="0.25"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40"/>
    </row>
    <row r="246" spans="9:22" x14ac:dyDescent="0.25"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40"/>
    </row>
    <row r="247" spans="9:22" x14ac:dyDescent="0.25"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40"/>
    </row>
    <row r="248" spans="9:22" x14ac:dyDescent="0.25"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40"/>
    </row>
    <row r="249" spans="9:22" x14ac:dyDescent="0.25"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40"/>
    </row>
    <row r="250" spans="9:22" x14ac:dyDescent="0.25"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</row>
    <row r="251" spans="9:22" x14ac:dyDescent="0.25"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</row>
    <row r="252" spans="9:22" x14ac:dyDescent="0.25"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</row>
    <row r="253" spans="9:22" x14ac:dyDescent="0.25"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</row>
    <row r="254" spans="9:22" x14ac:dyDescent="0.25"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</row>
    <row r="255" spans="9:22" x14ac:dyDescent="0.25"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</row>
    <row r="256" spans="9:22" x14ac:dyDescent="0.25"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</row>
    <row r="257" spans="9:22" x14ac:dyDescent="0.25"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</row>
  </sheetData>
  <mergeCells count="6">
    <mergeCell ref="A5:H5"/>
    <mergeCell ref="J5:Q5"/>
    <mergeCell ref="A6:H6"/>
    <mergeCell ref="J6:Q6"/>
    <mergeCell ref="A7:H7"/>
    <mergeCell ref="J7:Q7"/>
  </mergeCells>
  <pageMargins left="0.11811023622047245" right="0.11811023622047245" top="0.74803149606299213" bottom="0.74803149606299213" header="0.31496062992125984" footer="0.31496062992125984"/>
  <pageSetup paperSize="5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9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13</vt:i4>
      </vt:variant>
    </vt:vector>
  </HeadingPairs>
  <TitlesOfParts>
    <vt:vector size="23" baseType="lpstr"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DICIEMBRE 2024</vt:lpstr>
      <vt:lpstr>Gráfico2</vt:lpstr>
      <vt:lpstr>'AGOSTO 2024'!Área_de_impresión</vt:lpstr>
      <vt:lpstr>'DICIEMBRE 2024'!Área_de_impresión</vt:lpstr>
      <vt:lpstr>'ENERO 2024'!Área_de_impresión</vt:lpstr>
      <vt:lpstr>'MAYO 2024'!Área_de_impresión</vt:lpstr>
      <vt:lpstr>'ABRIL 2024'!Títulos_a_imprimir</vt:lpstr>
      <vt:lpstr>'AGOSTO 2024'!Títulos_a_imprimir</vt:lpstr>
      <vt:lpstr>'DICIEMBRE 2024'!Títulos_a_imprimir</vt:lpstr>
      <vt:lpstr>'ENERO 2024'!Títulos_a_imprimir</vt:lpstr>
      <vt:lpstr>'FEBRERO 2024'!Títulos_a_imprimir</vt:lpstr>
      <vt:lpstr>'JULIO 2024'!Títulos_a_imprimir</vt:lpstr>
      <vt:lpstr>'JUNIO 2024'!Títulos_a_imprimir</vt:lpstr>
      <vt:lpstr>'MARZO 2024'!Títulos_a_imprimir</vt:lpstr>
      <vt:lpstr>'MAYO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Elizabeth</cp:lastModifiedBy>
  <cp:lastPrinted>2025-01-15T17:56:31Z</cp:lastPrinted>
  <dcterms:created xsi:type="dcterms:W3CDTF">2015-06-05T18:19:34Z</dcterms:created>
  <dcterms:modified xsi:type="dcterms:W3CDTF">2025-01-17T18:57:45Z</dcterms:modified>
</cp:coreProperties>
</file>